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497" activeTab="0"/>
  </bookViews>
  <sheets>
    <sheet name="1305" sheetId="1" r:id="rId1"/>
    <sheet name="特記" sheetId="2" r:id="rId2"/>
    <sheet name="グラフ" sheetId="3" r:id="rId3"/>
  </sheets>
  <definedNames>
    <definedName name="_xlnm.Print_Area" localSheetId="0">'1305'!$A$1:$R$73</definedName>
    <definedName name="_xlnm.Print_Area" localSheetId="2">'グラフ'!$A:$R</definedName>
  </definedNames>
  <calcPr fullCalcOnLoad="1"/>
</workbook>
</file>

<file path=xl/sharedStrings.xml><?xml version="1.0" encoding="utf-8"?>
<sst xmlns="http://schemas.openxmlformats.org/spreadsheetml/2006/main" count="257" uniqueCount="188">
  <si>
    <t>電</t>
  </si>
  <si>
    <t>℡</t>
  </si>
  <si>
    <t>事業場名称</t>
  </si>
  <si>
    <t>契約種別</t>
  </si>
  <si>
    <t>設備容量</t>
  </si>
  <si>
    <t>kVA</t>
  </si>
  <si>
    <t>kW</t>
  </si>
  <si>
    <t>天候</t>
  </si>
  <si>
    <t>温度</t>
  </si>
  <si>
    <t>電気管理技術者</t>
  </si>
  <si>
    <t>印</t>
  </si>
  <si>
    <t>年月日</t>
  </si>
  <si>
    <t>累積指数</t>
  </si>
  <si>
    <t>使用電力量</t>
  </si>
  <si>
    <t>最大需要電力</t>
  </si>
  <si>
    <t>力率</t>
  </si>
  <si>
    <t>〔kWH／月〕</t>
  </si>
  <si>
    <t>〔kWH／日〕</t>
  </si>
  <si>
    <t>指数</t>
  </si>
  <si>
    <t>〔％〕</t>
  </si>
  <si>
    <t>〔mA〕</t>
  </si>
  <si>
    <t>電流〔A〕</t>
  </si>
  <si>
    <t>漏洩</t>
  </si>
  <si>
    <t>R-S</t>
  </si>
  <si>
    <t>S-T</t>
  </si>
  <si>
    <t>T-R</t>
  </si>
  <si>
    <t>R</t>
  </si>
  <si>
    <t>S</t>
  </si>
  <si>
    <t>T</t>
  </si>
  <si>
    <t>〔℃〕</t>
  </si>
  <si>
    <t>R-N</t>
  </si>
  <si>
    <t>※</t>
  </si>
  <si>
    <t>引込線・構内線路</t>
  </si>
  <si>
    <t>支持物,碍子,ケーブル,電線</t>
  </si>
  <si>
    <t>○</t>
  </si>
  <si>
    <t>母線・リード線</t>
  </si>
  <si>
    <t>過熱,弛み,損傷,支持物</t>
  </si>
  <si>
    <t>電　柱</t>
  </si>
  <si>
    <t>腕木,碍子,支線</t>
  </si>
  <si>
    <t>変　圧　器</t>
  </si>
  <si>
    <t>温度,油漏,音響,ブッシング</t>
  </si>
  <si>
    <t>受</t>
  </si>
  <si>
    <t>電線取付,傾斜,腐食</t>
  </si>
  <si>
    <t>高圧進相用</t>
  </si>
  <si>
    <t>配</t>
  </si>
  <si>
    <t>区分開閉器</t>
  </si>
  <si>
    <t>PAS</t>
  </si>
  <si>
    <t>コンデンサ</t>
  </si>
  <si>
    <t>配　電　盤</t>
  </si>
  <si>
    <t>計器,開閉器,継電器</t>
  </si>
  <si>
    <t>設</t>
  </si>
  <si>
    <t>負荷開閉器</t>
  </si>
  <si>
    <t>LBS</t>
  </si>
  <si>
    <t>過熱変色,汚損,碍子</t>
  </si>
  <si>
    <t>汚損</t>
  </si>
  <si>
    <t>備</t>
  </si>
  <si>
    <t>カットアウト　PC</t>
  </si>
  <si>
    <t>過熱変色,汚損,碍子,損傷</t>
  </si>
  <si>
    <t>監視・保護継電器</t>
  </si>
  <si>
    <t>汚損,取付状況</t>
  </si>
  <si>
    <t>電力ヒューズ　PF</t>
  </si>
  <si>
    <t>過熱変色,汚損</t>
  </si>
  <si>
    <t>接　地　線</t>
  </si>
  <si>
    <t>断線,損傷,取付状況</t>
  </si>
  <si>
    <t>避　雷　器</t>
  </si>
  <si>
    <t>LA</t>
  </si>
  <si>
    <t>損傷,汚損,リード線</t>
  </si>
  <si>
    <t>キュービクル</t>
  </si>
  <si>
    <t>過熱,外傷,音響</t>
  </si>
  <si>
    <t>ＳＯＧ操作電源</t>
  </si>
  <si>
    <t>良否</t>
  </si>
  <si>
    <t>過熱,損傷,ヒューズ容量</t>
  </si>
  <si>
    <t>負</t>
  </si>
  <si>
    <t>分電盤</t>
  </si>
  <si>
    <t>過熱,損傷,遮断器容量</t>
  </si>
  <si>
    <t>荷</t>
  </si>
  <si>
    <t>漏電遮断器</t>
  </si>
  <si>
    <t>電　動　機</t>
  </si>
  <si>
    <t>過熱,音響,異臭</t>
  </si>
  <si>
    <t>過熱,被覆損傷</t>
  </si>
  <si>
    <t>不点,損傷</t>
  </si>
  <si>
    <t>配　線</t>
  </si>
  <si>
    <t>漏電火災警報器</t>
  </si>
  <si>
    <t>特</t>
  </si>
  <si>
    <t>記</t>
  </si>
  <si>
    <t>事</t>
  </si>
  <si>
    <t>項</t>
  </si>
  <si>
    <t>※　点検結果　異常のないものは○印、要注意のものは△印、異常のものは×印を附し、注意をする。</t>
  </si>
  <si>
    <t>配 線 器 具</t>
  </si>
  <si>
    <t>－</t>
  </si>
  <si>
    <t>契約電力</t>
  </si>
  <si>
    <t>T-N</t>
  </si>
  <si>
    <t>N</t>
  </si>
  <si>
    <t>保　護　柵</t>
  </si>
  <si>
    <t>破損,危険表示</t>
  </si>
  <si>
    <t>配 電 線 路</t>
  </si>
  <si>
    <t>扉,標識灯,錠,損傷,汚損</t>
  </si>
  <si>
    <t>照 明 設 備</t>
  </si>
  <si>
    <t>遮断器</t>
  </si>
  <si>
    <t>MCCB</t>
  </si>
  <si>
    <r>
      <t>FAX</t>
    </r>
    <r>
      <rPr>
        <sz val="8"/>
        <rFont val="ＭＳ 明朝"/>
        <family val="1"/>
      </rPr>
      <t>・℡</t>
    </r>
  </si>
  <si>
    <t>月負荷率</t>
  </si>
  <si>
    <t>高圧Ａ</t>
  </si>
  <si>
    <t>外観</t>
  </si>
  <si>
    <r>
      <t>FAX</t>
    </r>
    <r>
      <rPr>
        <sz val="8"/>
        <rFont val="ＭＳ 明朝"/>
        <family val="1"/>
      </rPr>
      <t>・℡</t>
    </r>
  </si>
  <si>
    <t>契約電力</t>
  </si>
  <si>
    <t>MAX(INDIRECT(T3))</t>
  </si>
  <si>
    <t>－</t>
  </si>
  <si>
    <t>○</t>
  </si>
  <si>
    <t>電源</t>
  </si>
  <si>
    <t>SOG制御装置</t>
  </si>
  <si>
    <t>受電ケーブルシース</t>
  </si>
  <si>
    <t>〔kWH〕／240</t>
  </si>
  <si>
    <t>点検日データ入力欄</t>
  </si>
  <si>
    <t>年月日</t>
  </si>
  <si>
    <t>時刻</t>
  </si>
  <si>
    <t>天候</t>
  </si>
  <si>
    <t>気温</t>
  </si>
  <si>
    <t>℃</t>
  </si>
  <si>
    <t>漏洩電流〔mA〕</t>
  </si>
  <si>
    <t>契約</t>
  </si>
  <si>
    <t>〔kW〕</t>
  </si>
  <si>
    <t>基本料金</t>
  </si>
  <si>
    <t>電力</t>
  </si>
  <si>
    <t>〔円〕</t>
  </si>
  <si>
    <t>晴</t>
  </si>
  <si>
    <t>取引用変成器 VCT</t>
  </si>
  <si>
    <t>損傷,発錆,標識,施錠</t>
  </si>
  <si>
    <t>電灯用変圧器（20kVA） 95A</t>
  </si>
  <si>
    <t>ＳＣ</t>
  </si>
  <si>
    <t>進相機器</t>
  </si>
  <si>
    <t>温度〔℃〕</t>
  </si>
  <si>
    <t>ZCT</t>
  </si>
  <si>
    <t>記録すべき異常な所見はありません。</t>
  </si>
  <si>
    <t>電力量料金〔円／kWh〕</t>
  </si>
  <si>
    <t>〔kW〕</t>
  </si>
  <si>
    <t>〔千円〕</t>
  </si>
  <si>
    <t>夏季</t>
  </si>
  <si>
    <t>他季</t>
  </si>
  <si>
    <t>年月</t>
  </si>
  <si>
    <t>最大需要</t>
  </si>
  <si>
    <t>月</t>
  </si>
  <si>
    <t>基本料</t>
  </si>
  <si>
    <t>使用料</t>
  </si>
  <si>
    <t>表示の“月”は、点検・検針月であり、前月の電気使用状況を示しています。</t>
  </si>
  <si>
    <t>「契約電力」は、“その1月の最大需要電力と、前11月の最大需要電力のうち、いずれ</t>
  </si>
  <si>
    <t>か大きい値とする。”規程により、決定します。</t>
  </si>
  <si>
    <t>電気料金単価は、同一条件で増減を比較するため、すべて平成20年3月１日改定料金を</t>
  </si>
  <si>
    <t>適用していますので、実際に支払われた金額と一致しないものがあります。</t>
  </si>
  <si>
    <t>基本料金の計算方法は、下式のとおりです。</t>
  </si>
  <si>
    <t>所見</t>
  </si>
  <si>
    <r>
      <t>基本料金 ＝ [契約電力量］×[基本料金単価］×</t>
    </r>
    <r>
      <rPr>
        <sz val="10"/>
        <color indexed="12"/>
        <rFont val="ＭＳ 明朝"/>
        <family val="1"/>
      </rPr>
      <t>[1-(力率-85)÷100］</t>
    </r>
  </si>
  <si>
    <r>
      <t>式中“</t>
    </r>
    <r>
      <rPr>
        <sz val="10"/>
        <color indexed="12"/>
        <rFont val="ＭＳ 明朝"/>
        <family val="1"/>
      </rPr>
      <t>[1-(力率-85)÷100］</t>
    </r>
    <r>
      <rPr>
        <sz val="10"/>
        <rFont val="ＭＳ 明朝"/>
        <family val="1"/>
      </rPr>
      <t>”を、力率割引（85%未満の場合は割増）と言います。</t>
    </r>
  </si>
  <si>
    <t>最大電力のピークは、夏季に偏る傾向がありますが、年間を通じて変動幅は小さく</t>
  </si>
  <si>
    <t>デマンド状況は良好といえます。</t>
  </si>
  <si>
    <t>問診</t>
  </si>
  <si>
    <t>a 電気設備の増設及び変更の工事を行ったか</t>
  </si>
  <si>
    <t>無</t>
  </si>
  <si>
    <t>d 電気機械器具等から異音、異臭の発生はないか</t>
  </si>
  <si>
    <t>b 電気機器、建屋の金属部分、水道の蛇口、その他の金属
　部分にふれたとき「電撃」を感じたことはないか</t>
  </si>
  <si>
    <t>e 配線用遮断機、ヒューズ、電動機用過負荷保護
　装置が動作したことはないか</t>
  </si>
  <si>
    <t>c 漏電遮断器及び漏電火災警報器が動作したか</t>
  </si>
  <si>
    <t>f その他　異常に気付いたことはないか</t>
  </si>
  <si>
    <t>点検個所・点検項目</t>
  </si>
  <si>
    <t>計器用変成器 VTCT</t>
  </si>
  <si>
    <t>カバーSW KS</t>
  </si>
  <si>
    <t>過熱,損傷</t>
  </si>
  <si>
    <t>開閉紐,制御装置</t>
  </si>
  <si>
    <t>ブッシング,汚損,発錆,腐食</t>
  </si>
  <si>
    <t>ブッシング</t>
  </si>
  <si>
    <t>温度,油漏,音響,膨張</t>
  </si>
  <si>
    <t>1　高・低圧受配電設備、および負荷設備の点検結果</t>
  </si>
  <si>
    <t>動力用変圧器（100kVA）【正相】 275A</t>
  </si>
  <si>
    <t>代務者</t>
  </si>
  <si>
    <t>新設・受電開始 15:00</t>
  </si>
  <si>
    <t>J10:J21</t>
  </si>
  <si>
    <t>受電開始</t>
  </si>
  <si>
    <t>○○株式会社　富山工場</t>
  </si>
  <si>
    <t>ＳＲ</t>
  </si>
  <si>
    <t>電圧〔V〕</t>
  </si>
  <si>
    <t>北管協富***号</t>
  </si>
  <si>
    <t>□□　□□</t>
  </si>
  <si>
    <t>***-****-****</t>
  </si>
  <si>
    <t>***-****-****</t>
  </si>
  <si>
    <t>***-***-****</t>
  </si>
  <si>
    <t>■■　■■</t>
  </si>
  <si>
    <r>
      <t>取引用電力量計による指数（検針日）　</t>
    </r>
    <r>
      <rPr>
        <sz val="10"/>
        <color indexed="12"/>
        <rFont val="ＭＳ 明朝"/>
        <family val="1"/>
      </rPr>
      <t>****ア****</t>
    </r>
  </si>
  <si>
    <t>開始後１年間は最新点検日データを表記させる数式／1年後にセル u10 の数式を解除し、当月点検日を直接入力する。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</si>
</sst>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_ "/>
    <numFmt numFmtId="179" formatCode="#,##0.00_ "/>
    <numFmt numFmtId="180" formatCode="[$-411]ggge&quot;年&quot;m&quot;月分&quot;"/>
    <numFmt numFmtId="181" formatCode="&quot;時刻　&quot;@"/>
    <numFmt numFmtId="182" formatCode="&quot;時刻&quot;\ h:mm"/>
    <numFmt numFmtId="183" formatCode="&quot;時刻&quot;\&amp;\ h:mm"/>
    <numFmt numFmtId="184" formatCode="&quot;（&quot;aaa&quot;）&quot;"/>
    <numFmt numFmtId="185" formatCode="aaa"/>
    <numFmt numFmtId="186" formatCode="[$-411]ge&quot;年&quot;m&quot;月&quot;"/>
    <numFmt numFmtId="187" formatCode="[$-411]m&quot;月&quot;d&quot;日&quot;"/>
    <numFmt numFmtId="188" formatCode="mmm\-yyyy"/>
    <numFmt numFmtId="189" formatCode="&quot;(&quot;aaa&quot;)&quot;"/>
    <numFmt numFmtId="190" formatCode="#,##0.0;[Red]\-#,##0.0"/>
    <numFmt numFmtId="191" formatCode="m&quot;月&quot;d&quot;日&quot;;@"/>
    <numFmt numFmtId="192" formatCode="#,##0.000_ "/>
    <numFmt numFmtId="193" formatCode="yyyy/mm/dd"/>
    <numFmt numFmtId="194" formatCode="h:mm;@"/>
    <numFmt numFmtId="195" formatCode="[$-411]ggge&quot;年&quot;m&quot;月&quot;d&quot;日&quot;;@"/>
    <numFmt numFmtId="196" formatCode="#,##0.0"/>
    <numFmt numFmtId="197" formatCode="&quot;(@&quot;0&quot;)&quot;"/>
    <numFmt numFmtId="198" formatCode="0&quot;℃&quot;"/>
    <numFmt numFmtId="199" formatCode="[$-411]ggge&quot;年&quot;m&quot;月&quot;d&quot;日（&quot;aaa&quot;）&quot;"/>
    <numFmt numFmtId="200" formatCode="0.000"/>
    <numFmt numFmtId="201" formatCode="0.0"/>
    <numFmt numFmtId="202" formatCode="0_);[Red]\(0\)"/>
    <numFmt numFmtId="203" formatCode="#,##0.0_);[Red]\(#,##0.0\)"/>
    <numFmt numFmtId="204" formatCode="0.0_);[Red]\(0.0\)"/>
    <numFmt numFmtId="205" formatCode="0.00_ "/>
    <numFmt numFmtId="206" formatCode="[$-411]ggge&quot;年&quot;m&quot;月ｄ&quot;"/>
    <numFmt numFmtId="207" formatCode="#,##0_ ;[Red]\-#,##0\ "/>
    <numFmt numFmtId="208" formatCode="mm/dd/yy;@"/>
    <numFmt numFmtId="209" formatCode="yyyy/m/d;@"/>
    <numFmt numFmtId="210" formatCode="yy/mm/dd"/>
    <numFmt numFmtId="211" formatCode="0&quot; kW&quot;"/>
    <numFmt numFmtId="212" formatCode="0.0%"/>
    <numFmt numFmtId="213" formatCode="&quot;(@&quot;0.0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color indexed="23"/>
      <name val="ＭＳ 明朝"/>
      <family val="1"/>
    </font>
    <font>
      <sz val="10"/>
      <color indexed="2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10"/>
      <color indexed="48"/>
      <name val="ＭＳ 明朝"/>
      <family val="1"/>
    </font>
    <font>
      <sz val="15.2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明朝"/>
      <family val="1"/>
    </font>
    <font>
      <sz val="9.5"/>
      <color indexed="9"/>
      <name val="ＭＳ Ｐゴシック"/>
      <family val="3"/>
    </font>
    <font>
      <sz val="9.5"/>
      <color indexed="8"/>
      <name val="ＭＳ Ｐゴシック"/>
      <family val="3"/>
    </font>
    <font>
      <sz val="10.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14"/>
      <name val="ＭＳ Ｐゴシック"/>
      <family val="3"/>
    </font>
    <font>
      <sz val="9"/>
      <color indexed="12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>
        <fgColor indexed="41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86" fontId="2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vertical="center"/>
      <protection/>
    </xf>
    <xf numFmtId="176" fontId="2" fillId="0" borderId="18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Continuous" vertical="center"/>
      <protection/>
    </xf>
    <xf numFmtId="0" fontId="2" fillId="0" borderId="22" xfId="0" applyFont="1" applyBorder="1" applyAlignment="1" applyProtection="1">
      <alignment horizontal="centerContinuous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178" fontId="2" fillId="0" borderId="21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30" xfId="0" applyFont="1" applyBorder="1" applyAlignment="1" applyProtection="1">
      <alignment horizontal="centerContinuous" vertical="center"/>
      <protection/>
    </xf>
    <xf numFmtId="0" fontId="2" fillId="0" borderId="31" xfId="0" applyFont="1" applyBorder="1" applyAlignment="1" applyProtection="1">
      <alignment horizontal="centerContinuous" vertical="center"/>
      <protection/>
    </xf>
    <xf numFmtId="0" fontId="2" fillId="0" borderId="32" xfId="0" applyFont="1" applyBorder="1" applyAlignment="1" applyProtection="1">
      <alignment horizontal="centerContinuous" vertical="center"/>
      <protection/>
    </xf>
    <xf numFmtId="0" fontId="2" fillId="0" borderId="33" xfId="0" applyFont="1" applyBorder="1" applyAlignment="1" applyProtection="1">
      <alignment horizontal="centerContinuous" vertical="center"/>
      <protection/>
    </xf>
    <xf numFmtId="0" fontId="2" fillId="0" borderId="34" xfId="0" applyFont="1" applyBorder="1" applyAlignment="1" applyProtection="1">
      <alignment horizontal="centerContinuous" vertical="center"/>
      <protection/>
    </xf>
    <xf numFmtId="0" fontId="2" fillId="0" borderId="35" xfId="0" applyFont="1" applyBorder="1" applyAlignment="1" applyProtection="1">
      <alignment horizontal="centerContinuous" vertical="center"/>
      <protection/>
    </xf>
    <xf numFmtId="57" fontId="2" fillId="0" borderId="36" xfId="0" applyNumberFormat="1" applyFont="1" applyBorder="1" applyAlignment="1" applyProtection="1">
      <alignment horizontal="center" vertical="center"/>
      <protection/>
    </xf>
    <xf numFmtId="57" fontId="2" fillId="0" borderId="37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Continuous" vertical="center"/>
      <protection/>
    </xf>
    <xf numFmtId="0" fontId="3" fillId="0" borderId="38" xfId="0" applyFont="1" applyBorder="1" applyAlignment="1" applyProtection="1">
      <alignment horizontal="centerContinuous" vertical="center"/>
      <protection/>
    </xf>
    <xf numFmtId="0" fontId="3" fillId="0" borderId="3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/>
      <protection/>
    </xf>
    <xf numFmtId="57" fontId="2" fillId="0" borderId="40" xfId="0" applyNumberFormat="1" applyFont="1" applyBorder="1" applyAlignment="1" applyProtection="1">
      <alignment horizontal="centerContinuous" vertical="center"/>
      <protection/>
    </xf>
    <xf numFmtId="186" fontId="2" fillId="0" borderId="41" xfId="0" applyNumberFormat="1" applyFont="1" applyBorder="1" applyAlignment="1" applyProtection="1">
      <alignment horizontal="centerContinuous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vertical="center"/>
      <protection/>
    </xf>
    <xf numFmtId="9" fontId="2" fillId="0" borderId="51" xfId="0" applyNumberFormat="1" applyFont="1" applyBorder="1" applyAlignment="1" applyProtection="1">
      <alignment horizontal="center" vertical="center"/>
      <protection/>
    </xf>
    <xf numFmtId="56" fontId="6" fillId="0" borderId="16" xfId="0" applyNumberFormat="1" applyFont="1" applyBorder="1" applyAlignment="1" applyProtection="1">
      <alignment horizontal="centerContinuous" vertical="center"/>
      <protection locked="0"/>
    </xf>
    <xf numFmtId="56" fontId="2" fillId="0" borderId="0" xfId="0" applyNumberFormat="1" applyFont="1" applyBorder="1" applyAlignment="1" applyProtection="1">
      <alignment vertical="center"/>
      <protection locked="0"/>
    </xf>
    <xf numFmtId="0" fontId="2" fillId="21" borderId="50" xfId="0" applyFont="1" applyFill="1" applyBorder="1" applyAlignment="1" applyProtection="1">
      <alignment horizontal="center" vertical="center"/>
      <protection/>
    </xf>
    <xf numFmtId="0" fontId="2" fillId="21" borderId="49" xfId="0" applyFont="1" applyFill="1" applyBorder="1" applyAlignment="1" applyProtection="1">
      <alignment horizontal="center" vertical="center"/>
      <protection/>
    </xf>
    <xf numFmtId="178" fontId="2" fillId="0" borderId="32" xfId="0" applyNumberFormat="1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Continuous" vertical="center"/>
      <protection/>
    </xf>
    <xf numFmtId="0" fontId="3" fillId="0" borderId="20" xfId="0" applyFont="1" applyBorder="1" applyAlignment="1" applyProtection="1">
      <alignment horizontal="centerContinuous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0" fontId="2" fillId="0" borderId="13" xfId="0" applyNumberFormat="1" applyFont="1" applyBorder="1" applyAlignment="1" applyProtection="1">
      <alignment vertical="center"/>
      <protection locked="0"/>
    </xf>
    <xf numFmtId="190" fontId="2" fillId="0" borderId="13" xfId="0" applyNumberFormat="1" applyFont="1" applyBorder="1" applyAlignment="1" applyProtection="1">
      <alignment vertical="center"/>
      <protection locked="0"/>
    </xf>
    <xf numFmtId="40" fontId="2" fillId="0" borderId="11" xfId="0" applyNumberFormat="1" applyFont="1" applyBorder="1" applyAlignment="1" applyProtection="1">
      <alignment vertical="center"/>
      <protection locked="0"/>
    </xf>
    <xf numFmtId="40" fontId="2" fillId="0" borderId="52" xfId="0" applyNumberFormat="1" applyFont="1" applyBorder="1" applyAlignment="1" applyProtection="1">
      <alignment vertical="center"/>
      <protection locked="0"/>
    </xf>
    <xf numFmtId="191" fontId="2" fillId="0" borderId="13" xfId="0" applyNumberFormat="1" applyFont="1" applyBorder="1" applyAlignment="1" applyProtection="1">
      <alignment horizontal="centerContinuous" vertical="center"/>
      <protection locked="0"/>
    </xf>
    <xf numFmtId="0" fontId="2" fillId="0" borderId="0" xfId="0" applyNumberFormat="1" applyFont="1" applyAlignment="1" applyProtection="1">
      <alignment vertical="center"/>
      <protection/>
    </xf>
    <xf numFmtId="0" fontId="2" fillId="4" borderId="16" xfId="0" applyFont="1" applyFill="1" applyBorder="1" applyAlignment="1" applyProtection="1">
      <alignment horizontal="centerContinuous" vertical="center"/>
      <protection/>
    </xf>
    <xf numFmtId="0" fontId="2" fillId="4" borderId="14" xfId="0" applyFont="1" applyFill="1" applyBorder="1" applyAlignment="1" applyProtection="1">
      <alignment horizontal="centerContinuous" vertical="center"/>
      <protection/>
    </xf>
    <xf numFmtId="0" fontId="2" fillId="4" borderId="15" xfId="0" applyFont="1" applyFill="1" applyBorder="1" applyAlignment="1" applyProtection="1">
      <alignment horizontal="centerContinuous" vertical="center"/>
      <protection/>
    </xf>
    <xf numFmtId="0" fontId="2" fillId="4" borderId="48" xfId="0" applyFont="1" applyFill="1" applyBorder="1" applyAlignment="1" applyProtection="1">
      <alignment horizontal="center" vertical="center"/>
      <protection/>
    </xf>
    <xf numFmtId="0" fontId="2" fillId="4" borderId="49" xfId="0" applyFont="1" applyFill="1" applyBorder="1" applyAlignment="1" applyProtection="1">
      <alignment horizontal="center" vertical="center"/>
      <protection/>
    </xf>
    <xf numFmtId="193" fontId="2" fillId="4" borderId="51" xfId="0" applyNumberFormat="1" applyFont="1" applyFill="1" applyBorder="1" applyAlignment="1" applyProtection="1">
      <alignment vertical="center"/>
      <protection/>
    </xf>
    <xf numFmtId="194" fontId="2" fillId="4" borderId="51" xfId="0" applyNumberFormat="1" applyFont="1" applyFill="1" applyBorder="1" applyAlignment="1" applyProtection="1">
      <alignment horizontal="center" vertical="center"/>
      <protection/>
    </xf>
    <xf numFmtId="0" fontId="2" fillId="4" borderId="51" xfId="0" applyFont="1" applyFill="1" applyBorder="1" applyAlignment="1" applyProtection="1">
      <alignment horizontal="center" vertical="center"/>
      <protection/>
    </xf>
    <xf numFmtId="56" fontId="2" fillId="0" borderId="14" xfId="0" applyNumberFormat="1" applyFont="1" applyBorder="1" applyAlignment="1" applyProtection="1">
      <alignment horizontal="centerContinuous" vertical="center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Continuous" vertical="center"/>
      <protection/>
    </xf>
    <xf numFmtId="0" fontId="3" fillId="0" borderId="42" xfId="0" applyFont="1" applyBorder="1" applyAlignment="1" applyProtection="1">
      <alignment horizontal="centerContinuous" vertical="center"/>
      <protection/>
    </xf>
    <xf numFmtId="0" fontId="3" fillId="0" borderId="29" xfId="0" applyFont="1" applyBorder="1" applyAlignment="1" applyProtection="1">
      <alignment horizontal="centerContinuous" vertical="center"/>
      <protection/>
    </xf>
    <xf numFmtId="0" fontId="3" fillId="0" borderId="41" xfId="0" applyFont="1" applyBorder="1" applyAlignment="1" applyProtection="1">
      <alignment horizontal="centerContinuous" vertical="center"/>
      <protection/>
    </xf>
    <xf numFmtId="0" fontId="3" fillId="0" borderId="53" xfId="0" applyFont="1" applyBorder="1" applyAlignment="1" applyProtection="1">
      <alignment horizontal="centerContinuous" vertical="center"/>
      <protection/>
    </xf>
    <xf numFmtId="0" fontId="3" fillId="0" borderId="54" xfId="0" applyFont="1" applyBorder="1" applyAlignment="1" applyProtection="1">
      <alignment horizontal="centerContinuous" vertical="center"/>
      <protection/>
    </xf>
    <xf numFmtId="196" fontId="2" fillId="0" borderId="52" xfId="0" applyNumberFormat="1" applyFont="1" applyBorder="1" applyAlignment="1" applyProtection="1">
      <alignment vertical="center"/>
      <protection locked="0"/>
    </xf>
    <xf numFmtId="4" fontId="2" fillId="0" borderId="52" xfId="0" applyNumberFormat="1" applyFont="1" applyBorder="1" applyAlignment="1" applyProtection="1">
      <alignment vertical="center"/>
      <protection locked="0"/>
    </xf>
    <xf numFmtId="0" fontId="2" fillId="21" borderId="50" xfId="0" applyFont="1" applyFill="1" applyBorder="1" applyAlignment="1">
      <alignment horizontal="center" vertical="center"/>
    </xf>
    <xf numFmtId="0" fontId="2" fillId="21" borderId="48" xfId="0" applyFont="1" applyFill="1" applyBorder="1" applyAlignment="1" applyProtection="1">
      <alignment horizontal="center" vertical="center"/>
      <protection/>
    </xf>
    <xf numFmtId="0" fontId="2" fillId="21" borderId="49" xfId="0" applyFont="1" applyFill="1" applyBorder="1" applyAlignment="1">
      <alignment horizontal="center" vertical="center"/>
    </xf>
    <xf numFmtId="177" fontId="2" fillId="21" borderId="55" xfId="0" applyNumberFormat="1" applyFont="1" applyFill="1" applyBorder="1" applyAlignment="1" applyProtection="1">
      <alignment vertical="center"/>
      <protection/>
    </xf>
    <xf numFmtId="38" fontId="2" fillId="21" borderId="55" xfId="0" applyNumberFormat="1" applyFont="1" applyFill="1" applyBorder="1" applyAlignment="1">
      <alignment vertical="center"/>
    </xf>
    <xf numFmtId="0" fontId="2" fillId="4" borderId="1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 applyProtection="1">
      <alignment horizontal="centerContinuous" vertical="center"/>
      <protection locked="0"/>
    </xf>
    <xf numFmtId="198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200" fontId="2" fillId="0" borderId="32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Continuous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201" fontId="2" fillId="0" borderId="32" xfId="0" applyNumberFormat="1" applyFont="1" applyBorder="1" applyAlignment="1" applyProtection="1">
      <alignment vertical="center"/>
      <protection/>
    </xf>
    <xf numFmtId="202" fontId="2" fillId="0" borderId="10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Continuous" vertical="center"/>
      <protection/>
    </xf>
    <xf numFmtId="0" fontId="3" fillId="0" borderId="34" xfId="0" applyFont="1" applyBorder="1" applyAlignment="1" applyProtection="1">
      <alignment horizontal="centerContinuous" vertical="center"/>
      <protection/>
    </xf>
    <xf numFmtId="178" fontId="2" fillId="0" borderId="32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8" fontId="2" fillId="0" borderId="49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58" xfId="0" applyFont="1" applyBorder="1" applyAlignment="1" applyProtection="1">
      <alignment horizontal="centerContinuous" vertical="center"/>
      <protection/>
    </xf>
    <xf numFmtId="2" fontId="12" fillId="0" borderId="44" xfId="0" applyNumberFormat="1" applyFont="1" applyBorder="1" applyAlignment="1" applyProtection="1">
      <alignment horizontal="center" vertical="center"/>
      <protection/>
    </xf>
    <xf numFmtId="2" fontId="12" fillId="0" borderId="58" xfId="0" applyNumberFormat="1" applyFont="1" applyBorder="1" applyAlignment="1" applyProtection="1">
      <alignment horizontal="center" vertical="center"/>
      <protection/>
    </xf>
    <xf numFmtId="186" fontId="2" fillId="0" borderId="55" xfId="0" applyNumberFormat="1" applyFont="1" applyBorder="1" applyAlignment="1" applyProtection="1">
      <alignment horizontal="center" vertical="center"/>
      <protection/>
    </xf>
    <xf numFmtId="205" fontId="2" fillId="0" borderId="55" xfId="0" applyNumberFormat="1" applyFont="1" applyBorder="1" applyAlignment="1" applyProtection="1">
      <alignment vertical="center"/>
      <protection/>
    </xf>
    <xf numFmtId="176" fontId="2" fillId="0" borderId="55" xfId="0" applyNumberFormat="1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178" fontId="2" fillId="0" borderId="55" xfId="0" applyNumberFormat="1" applyFont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5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0" fontId="3" fillId="0" borderId="59" xfId="0" applyFont="1" applyBorder="1" applyAlignment="1" applyProtection="1">
      <alignment horizontal="centerContinuous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Continuous" vertical="center"/>
      <protection/>
    </xf>
    <xf numFmtId="0" fontId="3" fillId="0" borderId="64" xfId="0" applyFont="1" applyBorder="1" applyAlignment="1" applyProtection="1">
      <alignment horizontal="centerContinuous" vertical="center"/>
      <protection/>
    </xf>
    <xf numFmtId="0" fontId="5" fillId="0" borderId="65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>
      <alignment horizontal="center" vertical="center" shrinkToFit="1"/>
    </xf>
    <xf numFmtId="20" fontId="6" fillId="0" borderId="18" xfId="0" applyNumberFormat="1" applyFont="1" applyBorder="1" applyAlignment="1" applyProtection="1">
      <alignment horizontal="centerContinuous" vertical="center"/>
      <protection locked="0"/>
    </xf>
    <xf numFmtId="20" fontId="6" fillId="0" borderId="15" xfId="0" applyNumberFormat="1" applyFont="1" applyBorder="1" applyAlignment="1" applyProtection="1">
      <alignment horizontal="centerContinuous" vertical="center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177" fontId="2" fillId="0" borderId="0" xfId="0" applyNumberFormat="1" applyFont="1" applyBorder="1" applyAlignment="1" applyProtection="1">
      <alignment vertical="center"/>
      <protection/>
    </xf>
    <xf numFmtId="213" fontId="2" fillId="21" borderId="48" xfId="0" applyNumberFormat="1" applyFont="1" applyFill="1" applyBorder="1" applyAlignment="1">
      <alignment horizontal="center" vertical="center" shrinkToFit="1"/>
    </xf>
    <xf numFmtId="9" fontId="2" fillId="24" borderId="51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indent="1"/>
      <protection/>
    </xf>
    <xf numFmtId="40" fontId="42" fillId="24" borderId="52" xfId="0" applyNumberFormat="1" applyFont="1" applyFill="1" applyBorder="1" applyAlignment="1" applyProtection="1">
      <alignment vertical="center"/>
      <protection locked="0"/>
    </xf>
    <xf numFmtId="202" fontId="42" fillId="24" borderId="10" xfId="0" applyNumberFormat="1" applyFont="1" applyFill="1" applyBorder="1" applyAlignment="1" applyProtection="1">
      <alignment vertical="center"/>
      <protection/>
    </xf>
    <xf numFmtId="202" fontId="42" fillId="24" borderId="34" xfId="0" applyNumberFormat="1" applyFont="1" applyFill="1" applyBorder="1" applyAlignment="1" applyProtection="1">
      <alignment vertical="center"/>
      <protection locked="0"/>
    </xf>
    <xf numFmtId="40" fontId="42" fillId="24" borderId="13" xfId="0" applyNumberFormat="1" applyFont="1" applyFill="1" applyBorder="1" applyAlignment="1" applyProtection="1">
      <alignment vertical="center"/>
      <protection locked="0"/>
    </xf>
    <xf numFmtId="40" fontId="42" fillId="24" borderId="11" xfId="0" applyNumberFormat="1" applyFont="1" applyFill="1" applyBorder="1" applyAlignment="1" applyProtection="1">
      <alignment vertical="center"/>
      <protection locked="0"/>
    </xf>
    <xf numFmtId="190" fontId="42" fillId="24" borderId="13" xfId="0" applyNumberFormat="1" applyFont="1" applyFill="1" applyBorder="1" applyAlignment="1" applyProtection="1">
      <alignment horizontal="left" vertical="center" indent="1"/>
      <protection locked="0"/>
    </xf>
    <xf numFmtId="193" fontId="11" fillId="4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" fillId="25" borderId="0" xfId="0" applyFont="1" applyFill="1" applyAlignment="1" applyProtection="1">
      <alignment horizontal="center" vertical="center"/>
      <protection/>
    </xf>
    <xf numFmtId="209" fontId="2" fillId="25" borderId="0" xfId="0" applyNumberFormat="1" applyFont="1" applyFill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202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Border="1" applyAlignment="1" applyProtection="1">
      <alignment vertical="center"/>
      <protection/>
    </xf>
    <xf numFmtId="178" fontId="2" fillId="0" borderId="34" xfId="0" applyNumberFormat="1" applyFont="1" applyBorder="1" applyAlignment="1" applyProtection="1">
      <alignment vertical="center"/>
      <protection/>
    </xf>
    <xf numFmtId="205" fontId="2" fillId="0" borderId="13" xfId="0" applyNumberFormat="1" applyFont="1" applyBorder="1" applyAlignment="1" applyProtection="1">
      <alignment vertical="center"/>
      <protection locked="0"/>
    </xf>
    <xf numFmtId="205" fontId="2" fillId="0" borderId="34" xfId="0" applyNumberFormat="1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 textRotation="255"/>
      <protection/>
    </xf>
    <xf numFmtId="0" fontId="3" fillId="0" borderId="48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178" fontId="2" fillId="24" borderId="32" xfId="0" applyNumberFormat="1" applyFont="1" applyFill="1" applyBorder="1" applyAlignment="1" applyProtection="1">
      <alignment vertical="center"/>
      <protection/>
    </xf>
    <xf numFmtId="178" fontId="2" fillId="24" borderId="34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99" fontId="2" fillId="25" borderId="14" xfId="0" applyNumberFormat="1" applyFont="1" applyFill="1" applyBorder="1" applyAlignment="1" applyProtection="1">
      <alignment horizontal="center" vertical="center" shrinkToFit="1"/>
      <protection/>
    </xf>
    <xf numFmtId="58" fontId="2" fillId="0" borderId="14" xfId="0" applyNumberFormat="1" applyFont="1" applyBorder="1" applyAlignment="1" applyProtection="1">
      <alignment horizontal="center" vertical="center"/>
      <protection/>
    </xf>
    <xf numFmtId="58" fontId="2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  <dxf>
      <fill>
        <patternFill patternType="gray125">
          <f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高圧Ａ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（現契約種別）</a:t>
            </a:r>
          </a:p>
        </c:rich>
      </c:tx>
      <c:layout>
        <c:manualLayout>
          <c:xMode val="factor"/>
          <c:yMode val="factor"/>
          <c:x val="0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05"/>
          <c:h val="0.94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グラフ!$W$4</c:f>
              <c:strCache>
                <c:ptCount val="1"/>
                <c:pt idx="0">
                  <c:v>基本料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グラフ!$V$5:$V$16</c:f>
              <c:strCache/>
            </c:strRef>
          </c:cat>
          <c:val>
            <c:numRef>
              <c:f>グラフ!$W$5:$W$16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グラフ!$X$4</c:f>
              <c:strCache>
                <c:ptCount val="1"/>
                <c:pt idx="0">
                  <c:v>使用料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グラフ!$V$5:$V$16</c:f>
              <c:strCache/>
            </c:strRef>
          </c:cat>
          <c:val>
            <c:numRef>
              <c:f>グラフ!$X$5:$X$16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4802868"/>
        <c:axId val="572629"/>
      </c:barChart>
      <c:catAx>
        <c:axId val="448028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（平成22年4月～平成25年4月の検針・請求書発行月）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29"/>
        <c:crosses val="autoZero"/>
        <c:auto val="1"/>
        <c:lblOffset val="100"/>
        <c:tickLblSkip val="2"/>
        <c:noMultiLvlLbl val="0"/>
      </c:catAx>
      <c:valAx>
        <c:axId val="572629"/>
        <c:scaling>
          <c:orientation val="minMax"/>
          <c:max val="2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金額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千円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05675"/>
          <c:w val="0.128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最大需要電力 と 契約電力</a:t>
            </a:r>
          </a:p>
        </c:rich>
      </c:tx>
      <c:layout>
        <c:manualLayout>
          <c:xMode val="factor"/>
          <c:yMode val="factor"/>
          <c:x val="-0.03525"/>
          <c:y val="0.7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グラフ!$T$4</c:f>
              <c:strCache>
                <c:ptCount val="1"/>
                <c:pt idx="0">
                  <c:v>最大需要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グラフ!$T$5:$T$16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グラフ!$U$4</c:f>
              <c:strCache>
                <c:ptCount val="1"/>
                <c:pt idx="0">
                  <c:v>契約電力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グラフ!$U$5:$U$16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6382959"/>
        <c:crossesAt val="0"/>
        <c:auto val="1"/>
        <c:lblOffset val="100"/>
        <c:tickLblSkip val="1"/>
        <c:noMultiLvlLbl val="0"/>
      </c:catAx>
      <c:valAx>
        <c:axId val="46382959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電力量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〔kW〕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17</xdr:col>
      <xdr:colOff>571500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0" y="2705100"/>
        <a:ext cx="6600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17</xdr:col>
      <xdr:colOff>561975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0" y="428625"/>
        <a:ext cx="65913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85725</xdr:rowOff>
    </xdr:from>
    <xdr:to>
      <xdr:col>15</xdr:col>
      <xdr:colOff>123825</xdr:colOff>
      <xdr:row>7</xdr:row>
      <xdr:rowOff>0</xdr:rowOff>
    </xdr:to>
    <xdr:sp>
      <xdr:nvSpPr>
        <xdr:cNvPr id="4" name="Freeform 4"/>
        <xdr:cNvSpPr>
          <a:spLocks/>
        </xdr:cNvSpPr>
      </xdr:nvSpPr>
      <xdr:spPr>
        <a:xfrm>
          <a:off x="4248150" y="790575"/>
          <a:ext cx="1019175" cy="371475"/>
        </a:xfrm>
        <a:custGeom>
          <a:pathLst>
            <a:path h="46" w="115">
              <a:moveTo>
                <a:pt x="115" y="0"/>
              </a:moveTo>
              <a:lnTo>
                <a:pt x="21" y="0"/>
              </a:lnTo>
              <a:lnTo>
                <a:pt x="0" y="46"/>
              </a:lnTo>
            </a:path>
          </a:pathLst>
        </a:custGeom>
        <a:noFill/>
        <a:ln w="63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3</xdr:row>
      <xdr:rowOff>57150</xdr:rowOff>
    </xdr:from>
    <xdr:to>
      <xdr:col>15</xdr:col>
      <xdr:colOff>190500</xdr:colOff>
      <xdr:row>4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19625" y="6096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契約電力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B1">
      <pane ySplit="3" topLeftCell="BM4" activePane="bottomLeft" state="frozen"/>
      <selection pane="topLeft" activeCell="A1" sqref="A1"/>
      <selection pane="bottomLeft" activeCell="U6" sqref="U6"/>
    </sheetView>
  </sheetViews>
  <sheetFormatPr defaultColWidth="9.00390625" defaultRowHeight="13.5"/>
  <cols>
    <col min="1" max="1" width="4.25390625" style="9" customWidth="1"/>
    <col min="2" max="2" width="5.125" style="9" customWidth="1"/>
    <col min="3" max="18" width="5.125" style="10" customWidth="1"/>
    <col min="19" max="19" width="2.625" style="10" customWidth="1"/>
    <col min="20" max="20" width="10.25390625" style="10" bestFit="1" customWidth="1"/>
    <col min="21" max="21" width="10.125" style="10" customWidth="1"/>
    <col min="22" max="22" width="6.625" style="10" customWidth="1"/>
    <col min="23" max="24" width="5.50390625" style="10" customWidth="1"/>
    <col min="25" max="25" width="9.00390625" style="10" customWidth="1"/>
    <col min="26" max="26" width="9.375" style="10" bestFit="1" customWidth="1"/>
    <col min="27" max="16384" width="9.00390625" style="10" customWidth="1"/>
  </cols>
  <sheetData>
    <row r="1" spans="15:18" ht="13.5" customHeight="1">
      <c r="O1" s="211">
        <f>IF(N2="","平成　　年　　月分",N2)</f>
        <v>41416</v>
      </c>
      <c r="P1" s="211"/>
      <c r="Q1" s="211"/>
      <c r="R1" s="211"/>
    </row>
    <row r="2" spans="1:20" ht="18" customHeight="1">
      <c r="A2" s="11" t="s">
        <v>2</v>
      </c>
      <c r="B2" s="12"/>
      <c r="C2" s="13"/>
      <c r="D2" s="187" t="s">
        <v>177</v>
      </c>
      <c r="E2" s="7"/>
      <c r="F2" s="7"/>
      <c r="G2" s="7"/>
      <c r="H2" s="7"/>
      <c r="I2" s="7"/>
      <c r="J2" s="7"/>
      <c r="K2" s="7"/>
      <c r="L2" s="75" t="s">
        <v>10</v>
      </c>
      <c r="M2" s="8"/>
      <c r="N2" s="78">
        <f ca="1">IF(INDIRECT("U10")="","",INDIRECT("U10"))</f>
        <v>41416</v>
      </c>
      <c r="O2" s="101"/>
      <c r="P2" s="180">
        <f>IF($N$2="","（　）",WEEKDAY(($N$2),1))</f>
        <v>4</v>
      </c>
      <c r="Q2" s="181">
        <f ca="1">IF(INDIRECT("v11")="","",INDIRECT("v11"))</f>
      </c>
      <c r="R2" s="182"/>
      <c r="T2" s="80" t="s">
        <v>105</v>
      </c>
    </row>
    <row r="3" spans="1:21" ht="18" customHeight="1">
      <c r="A3" s="11" t="s">
        <v>3</v>
      </c>
      <c r="B3" s="12"/>
      <c r="C3" s="14" t="s">
        <v>102</v>
      </c>
      <c r="D3" s="7"/>
      <c r="E3" s="8"/>
      <c r="F3" s="11" t="s">
        <v>4</v>
      </c>
      <c r="G3" s="12"/>
      <c r="H3" s="14">
        <f>100+20</f>
        <v>120</v>
      </c>
      <c r="I3" s="8" t="s">
        <v>5</v>
      </c>
      <c r="J3" s="11" t="s">
        <v>90</v>
      </c>
      <c r="K3" s="12"/>
      <c r="L3" s="15">
        <f ca="1">MAX(INDIRECT(T3))</f>
        <v>0</v>
      </c>
      <c r="M3" s="8" t="s">
        <v>6</v>
      </c>
      <c r="N3" s="16" t="s">
        <v>7</v>
      </c>
      <c r="O3" s="118">
        <f ca="1">IF(INDIRECT("w11")="","",INDIRECT("w11"))</f>
      </c>
      <c r="P3" s="119"/>
      <c r="Q3" s="16" t="s">
        <v>8</v>
      </c>
      <c r="R3" s="120">
        <f ca="1">IF(INDIRECT("x11")="","",INDIRECT("x11"))</f>
      </c>
      <c r="T3" s="81" t="s">
        <v>175</v>
      </c>
      <c r="U3" s="10" t="s">
        <v>106</v>
      </c>
    </row>
    <row r="4" spans="1:21" ht="14.25" customHeight="1">
      <c r="A4" s="17" t="s">
        <v>9</v>
      </c>
      <c r="B4" s="18"/>
      <c r="C4" s="19"/>
      <c r="D4" s="20" t="s">
        <v>180</v>
      </c>
      <c r="E4" s="21"/>
      <c r="F4" s="21"/>
      <c r="G4" s="21" t="s">
        <v>181</v>
      </c>
      <c r="H4" s="21"/>
      <c r="I4" s="22"/>
      <c r="J4" s="215" t="s">
        <v>10</v>
      </c>
      <c r="K4" s="23" t="s">
        <v>1</v>
      </c>
      <c r="L4" s="24" t="s">
        <v>183</v>
      </c>
      <c r="M4" s="21"/>
      <c r="N4" s="21"/>
      <c r="O4" s="25" t="s">
        <v>104</v>
      </c>
      <c r="P4" s="21" t="s">
        <v>184</v>
      </c>
      <c r="Q4" s="21"/>
      <c r="R4" s="26"/>
      <c r="T4" s="196" t="s">
        <v>176</v>
      </c>
      <c r="U4" s="197">
        <v>41416</v>
      </c>
    </row>
    <row r="5" spans="1:22" ht="14.25" customHeight="1">
      <c r="A5" s="27"/>
      <c r="B5" s="28" t="s">
        <v>173</v>
      </c>
      <c r="C5" s="29"/>
      <c r="D5" s="30" t="s">
        <v>180</v>
      </c>
      <c r="E5" s="9"/>
      <c r="F5" s="9"/>
      <c r="G5" s="9" t="s">
        <v>185</v>
      </c>
      <c r="H5" s="9"/>
      <c r="I5" s="31"/>
      <c r="J5" s="216"/>
      <c r="K5" s="32" t="s">
        <v>1</v>
      </c>
      <c r="L5" s="33" t="s">
        <v>182</v>
      </c>
      <c r="M5" s="9"/>
      <c r="N5" s="9"/>
      <c r="O5" s="34" t="s">
        <v>100</v>
      </c>
      <c r="P5" s="9" t="s">
        <v>184</v>
      </c>
      <c r="Q5" s="9"/>
      <c r="R5" s="35"/>
      <c r="T5" s="194">
        <f ca="1">INDIRECT(CHAR(COLUMN(U$8)+64)&amp;23-COUNTA(U$11:U$22))</f>
        <v>41416</v>
      </c>
      <c r="U5" s="195" t="s">
        <v>187</v>
      </c>
      <c r="V5" s="92"/>
    </row>
    <row r="6" spans="1:19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4"/>
      <c r="S6" s="9"/>
    </row>
    <row r="7" spans="1:26" ht="12">
      <c r="A7" s="36"/>
      <c r="B7" s="37"/>
      <c r="C7" s="17" t="s">
        <v>186</v>
      </c>
      <c r="D7" s="18"/>
      <c r="E7" s="18"/>
      <c r="F7" s="18"/>
      <c r="G7" s="18"/>
      <c r="H7" s="18"/>
      <c r="I7" s="18"/>
      <c r="J7" s="18"/>
      <c r="K7" s="38"/>
      <c r="L7" s="84" t="s">
        <v>110</v>
      </c>
      <c r="M7" s="123"/>
      <c r="N7" s="104" t="s">
        <v>130</v>
      </c>
      <c r="O7" s="105"/>
      <c r="P7" s="104" t="s">
        <v>111</v>
      </c>
      <c r="Q7" s="105"/>
      <c r="R7" s="106"/>
      <c r="T7" s="76"/>
      <c r="U7" s="93" t="s">
        <v>113</v>
      </c>
      <c r="V7" s="94"/>
      <c r="W7" s="94"/>
      <c r="X7" s="95"/>
      <c r="Y7" s="80" t="s">
        <v>120</v>
      </c>
      <c r="Z7" s="112" t="s">
        <v>122</v>
      </c>
    </row>
    <row r="8" spans="1:26" ht="12">
      <c r="A8" s="27" t="s">
        <v>11</v>
      </c>
      <c r="B8" s="39"/>
      <c r="C8" s="40" t="s">
        <v>12</v>
      </c>
      <c r="D8" s="41"/>
      <c r="E8" s="42" t="s">
        <v>13</v>
      </c>
      <c r="F8" s="43"/>
      <c r="G8" s="44"/>
      <c r="H8" s="43"/>
      <c r="I8" s="129" t="s">
        <v>14</v>
      </c>
      <c r="J8" s="130"/>
      <c r="K8" s="45" t="s">
        <v>15</v>
      </c>
      <c r="L8" s="86" t="s">
        <v>109</v>
      </c>
      <c r="M8" s="124" t="s">
        <v>132</v>
      </c>
      <c r="N8" s="107" t="s">
        <v>131</v>
      </c>
      <c r="O8" s="109"/>
      <c r="P8" s="107" t="s">
        <v>119</v>
      </c>
      <c r="Q8" s="108"/>
      <c r="R8" s="109"/>
      <c r="T8" s="64" t="s">
        <v>101</v>
      </c>
      <c r="U8" s="96" t="s">
        <v>114</v>
      </c>
      <c r="V8" s="96" t="s">
        <v>115</v>
      </c>
      <c r="W8" s="96" t="s">
        <v>116</v>
      </c>
      <c r="X8" s="96" t="s">
        <v>117</v>
      </c>
      <c r="Y8" s="113" t="s">
        <v>123</v>
      </c>
      <c r="Z8" s="185">
        <f>1190*1.05</f>
        <v>1249.5</v>
      </c>
    </row>
    <row r="9" spans="1:26" s="51" customFormat="1" ht="12">
      <c r="A9" s="46"/>
      <c r="B9" s="47"/>
      <c r="C9" s="48" t="s">
        <v>112</v>
      </c>
      <c r="D9" s="49"/>
      <c r="E9" s="50" t="s">
        <v>16</v>
      </c>
      <c r="F9" s="50"/>
      <c r="G9" s="50" t="s">
        <v>17</v>
      </c>
      <c r="H9" s="50"/>
      <c r="I9" s="50" t="s">
        <v>18</v>
      </c>
      <c r="J9" s="50" t="s">
        <v>121</v>
      </c>
      <c r="K9" s="83" t="s">
        <v>19</v>
      </c>
      <c r="L9" s="85" t="s">
        <v>20</v>
      </c>
      <c r="M9" s="125" t="s">
        <v>20</v>
      </c>
      <c r="N9" s="126" t="s">
        <v>129</v>
      </c>
      <c r="O9" s="198" t="s">
        <v>178</v>
      </c>
      <c r="P9" s="102" t="s">
        <v>26</v>
      </c>
      <c r="Q9" s="61" t="s">
        <v>27</v>
      </c>
      <c r="R9" s="103" t="s">
        <v>28</v>
      </c>
      <c r="S9" s="10"/>
      <c r="T9" s="65"/>
      <c r="U9" s="97"/>
      <c r="V9" s="97"/>
      <c r="W9" s="97"/>
      <c r="X9" s="97" t="s">
        <v>118</v>
      </c>
      <c r="Y9" s="81" t="s">
        <v>121</v>
      </c>
      <c r="Z9" s="114" t="s">
        <v>124</v>
      </c>
    </row>
    <row r="10" spans="1:26" ht="11.25" customHeight="1">
      <c r="A10" s="5">
        <f>EOMONTH(A11,0)+1</f>
        <v>41760</v>
      </c>
      <c r="B10" s="52"/>
      <c r="C10" s="202"/>
      <c r="D10" s="203"/>
      <c r="E10" s="200">
        <f>IF(C10="","",(C10-C11)*240)</f>
      </c>
      <c r="F10" s="201"/>
      <c r="G10" s="200">
        <f>IF(C10="","",E10/DATEDIF(A11,A10,"d"))</f>
      </c>
      <c r="H10" s="201"/>
      <c r="I10" s="122"/>
      <c r="J10" s="127">
        <f aca="true" t="shared" si="0" ref="J10:J22">IF(I10="","",I10*240)</f>
      </c>
      <c r="K10" s="82"/>
      <c r="L10" s="88"/>
      <c r="M10" s="90"/>
      <c r="N10" s="128"/>
      <c r="O10" s="199"/>
      <c r="P10" s="87"/>
      <c r="Q10" s="89"/>
      <c r="R10" s="90"/>
      <c r="T10" s="77">
        <f aca="true" t="shared" si="1" ref="T10:T21">IF($G10="","",$G10/$J10/24)</f>
      </c>
      <c r="U10" s="98">
        <f>T5</f>
        <v>41416</v>
      </c>
      <c r="V10" s="99"/>
      <c r="W10" s="100"/>
      <c r="X10" s="100"/>
      <c r="Y10" s="115">
        <f>MAX(J10:J21)</f>
        <v>0</v>
      </c>
      <c r="Z10" s="116">
        <f>IF(K10="","",ROUND(Y10,0)*$Z$8*(1+(85-K10)/100))</f>
      </c>
    </row>
    <row r="11" spans="1:26" ht="11.25" customHeight="1">
      <c r="A11" s="5">
        <f>EOMONTH(A12,0)+1</f>
        <v>41730</v>
      </c>
      <c r="B11" s="52"/>
      <c r="C11" s="202"/>
      <c r="D11" s="203"/>
      <c r="E11" s="200">
        <f>IF(C11="","",(C11-C12)*240)</f>
      </c>
      <c r="F11" s="201"/>
      <c r="G11" s="200">
        <f>IF(C11="","",E11/DATEDIF(A12,A11,"d"))</f>
      </c>
      <c r="H11" s="201"/>
      <c r="I11" s="122"/>
      <c r="J11" s="127">
        <f t="shared" si="0"/>
      </c>
      <c r="K11" s="82"/>
      <c r="L11" s="88"/>
      <c r="M11" s="90"/>
      <c r="N11" s="128"/>
      <c r="O11" s="199"/>
      <c r="P11" s="87"/>
      <c r="Q11" s="89"/>
      <c r="R11" s="90"/>
      <c r="T11" s="77">
        <f t="shared" si="1"/>
      </c>
      <c r="U11" s="98"/>
      <c r="V11" s="99"/>
      <c r="W11" s="100"/>
      <c r="X11" s="100"/>
      <c r="Y11" s="115">
        <f>MAX(J11:J$22)</f>
        <v>0</v>
      </c>
      <c r="Z11" s="116">
        <f>IF(K11="","",ROUND(Y11,0)*$Z$8*(1+(85-K11)/100))</f>
      </c>
    </row>
    <row r="12" spans="1:26" ht="11.25" customHeight="1">
      <c r="A12" s="5">
        <f>EOMONTH(A13,0)+1</f>
        <v>41699</v>
      </c>
      <c r="B12" s="52"/>
      <c r="C12" s="202"/>
      <c r="D12" s="203"/>
      <c r="E12" s="200">
        <f>IF(C12="","",(C12-C13)*240)</f>
      </c>
      <c r="F12" s="201"/>
      <c r="G12" s="200">
        <f>IF(C12="","",E12/DATEDIF(A13,A12,"d"))</f>
      </c>
      <c r="H12" s="201"/>
      <c r="I12" s="122"/>
      <c r="J12" s="127">
        <f t="shared" si="0"/>
      </c>
      <c r="K12" s="82"/>
      <c r="L12" s="88"/>
      <c r="M12" s="90"/>
      <c r="N12" s="128"/>
      <c r="O12" s="199"/>
      <c r="P12" s="87"/>
      <c r="Q12" s="89"/>
      <c r="R12" s="90"/>
      <c r="T12" s="77">
        <f t="shared" si="1"/>
      </c>
      <c r="U12" s="98"/>
      <c r="V12" s="99"/>
      <c r="W12" s="100"/>
      <c r="X12" s="100"/>
      <c r="Y12" s="115">
        <f>MAX(J12:J$22)</f>
        <v>0</v>
      </c>
      <c r="Z12" s="116">
        <f>IF(K12="","",ROUND(Y12,0)*$Z$8*(1+(85-K12)/100))</f>
      </c>
    </row>
    <row r="13" spans="1:26" ht="11.25" customHeight="1">
      <c r="A13" s="5">
        <f>EOMONTH(A14,0)+1</f>
        <v>41671</v>
      </c>
      <c r="B13" s="52"/>
      <c r="C13" s="202"/>
      <c r="D13" s="203"/>
      <c r="E13" s="200">
        <f aca="true" t="shared" si="2" ref="E13:E18">IF(C13="","",(C13-C14)*240)</f>
      </c>
      <c r="F13" s="201"/>
      <c r="G13" s="200">
        <f aca="true" t="shared" si="3" ref="G13:G18">IF(C13="","",E13/DATEDIF(A14,A13,"d"))</f>
      </c>
      <c r="H13" s="201"/>
      <c r="I13" s="122"/>
      <c r="J13" s="127">
        <f t="shared" si="0"/>
      </c>
      <c r="K13" s="82"/>
      <c r="L13" s="88"/>
      <c r="M13" s="90"/>
      <c r="N13" s="128"/>
      <c r="O13" s="199"/>
      <c r="P13" s="87"/>
      <c r="Q13" s="89"/>
      <c r="R13" s="90"/>
      <c r="T13" s="77">
        <f t="shared" si="1"/>
      </c>
      <c r="U13" s="98"/>
      <c r="V13" s="99"/>
      <c r="W13" s="100"/>
      <c r="X13" s="100"/>
      <c r="Y13" s="115">
        <f>MAX(J13:J$22)</f>
        <v>0</v>
      </c>
      <c r="Z13" s="116">
        <f aca="true" t="shared" si="4" ref="Z13:Z18">IF(K13="","",ROUND(Y13,0)*$Z$8*(1+(85-K13)/100))</f>
      </c>
    </row>
    <row r="14" spans="1:26" ht="11.25" customHeight="1">
      <c r="A14" s="5">
        <f>EOMONTH(A15,0)+1</f>
        <v>41640</v>
      </c>
      <c r="B14" s="52"/>
      <c r="C14" s="202"/>
      <c r="D14" s="203"/>
      <c r="E14" s="200">
        <f t="shared" si="2"/>
      </c>
      <c r="F14" s="201"/>
      <c r="G14" s="200">
        <f t="shared" si="3"/>
      </c>
      <c r="H14" s="201"/>
      <c r="I14" s="122"/>
      <c r="J14" s="127">
        <f t="shared" si="0"/>
      </c>
      <c r="K14" s="82"/>
      <c r="L14" s="88"/>
      <c r="M14" s="90"/>
      <c r="N14" s="128"/>
      <c r="O14" s="199"/>
      <c r="P14" s="87"/>
      <c r="Q14" s="89"/>
      <c r="R14" s="90"/>
      <c r="T14" s="77">
        <f t="shared" si="1"/>
      </c>
      <c r="U14" s="98"/>
      <c r="V14" s="99"/>
      <c r="W14" s="100"/>
      <c r="X14" s="100"/>
      <c r="Y14" s="115">
        <f>MAX(J14:J$22)</f>
        <v>0</v>
      </c>
      <c r="Z14" s="116">
        <f t="shared" si="4"/>
      </c>
    </row>
    <row r="15" spans="1:26" ht="11.25" customHeight="1">
      <c r="A15" s="5">
        <f>EOMONTH(A16,0)+1</f>
        <v>41609</v>
      </c>
      <c r="B15" s="52"/>
      <c r="C15" s="202"/>
      <c r="D15" s="203"/>
      <c r="E15" s="200">
        <f t="shared" si="2"/>
      </c>
      <c r="F15" s="201"/>
      <c r="G15" s="200">
        <f t="shared" si="3"/>
      </c>
      <c r="H15" s="201"/>
      <c r="I15" s="122"/>
      <c r="J15" s="127">
        <f t="shared" si="0"/>
      </c>
      <c r="K15" s="82"/>
      <c r="L15" s="88"/>
      <c r="M15" s="90"/>
      <c r="N15" s="128"/>
      <c r="O15" s="199"/>
      <c r="P15" s="87"/>
      <c r="Q15" s="89"/>
      <c r="R15" s="90"/>
      <c r="T15" s="77">
        <f t="shared" si="1"/>
      </c>
      <c r="U15" s="98"/>
      <c r="V15" s="99"/>
      <c r="W15" s="100"/>
      <c r="X15" s="100"/>
      <c r="Y15" s="115">
        <f>MAX(J15:J$22)</f>
        <v>0</v>
      </c>
      <c r="Z15" s="116">
        <f t="shared" si="4"/>
      </c>
    </row>
    <row r="16" spans="1:26" ht="11.25" customHeight="1">
      <c r="A16" s="5">
        <f>EOMONTH(A17,0)+1</f>
        <v>41579</v>
      </c>
      <c r="B16" s="52"/>
      <c r="C16" s="202"/>
      <c r="D16" s="203"/>
      <c r="E16" s="200">
        <f t="shared" si="2"/>
      </c>
      <c r="F16" s="201"/>
      <c r="G16" s="200">
        <f t="shared" si="3"/>
      </c>
      <c r="H16" s="201"/>
      <c r="I16" s="122"/>
      <c r="J16" s="127">
        <f t="shared" si="0"/>
      </c>
      <c r="K16" s="82"/>
      <c r="L16" s="88"/>
      <c r="M16" s="90"/>
      <c r="N16" s="128"/>
      <c r="O16" s="199"/>
      <c r="P16" s="87"/>
      <c r="Q16" s="89"/>
      <c r="R16" s="90"/>
      <c r="T16" s="77">
        <f t="shared" si="1"/>
      </c>
      <c r="U16" s="98"/>
      <c r="V16" s="99"/>
      <c r="W16" s="100"/>
      <c r="X16" s="100"/>
      <c r="Y16" s="115">
        <f>MAX(J16:J$22)</f>
        <v>0</v>
      </c>
      <c r="Z16" s="116">
        <f t="shared" si="4"/>
      </c>
    </row>
    <row r="17" spans="1:26" ht="11.25" customHeight="1">
      <c r="A17" s="5">
        <f>EOMONTH(A18,0)+1</f>
        <v>41548</v>
      </c>
      <c r="B17" s="52"/>
      <c r="C17" s="202"/>
      <c r="D17" s="203"/>
      <c r="E17" s="200">
        <f t="shared" si="2"/>
      </c>
      <c r="F17" s="201"/>
      <c r="G17" s="200">
        <f t="shared" si="3"/>
      </c>
      <c r="H17" s="201"/>
      <c r="I17" s="122"/>
      <c r="J17" s="127">
        <f t="shared" si="0"/>
      </c>
      <c r="K17" s="82"/>
      <c r="L17" s="88"/>
      <c r="M17" s="90"/>
      <c r="N17" s="128"/>
      <c r="O17" s="199"/>
      <c r="P17" s="87"/>
      <c r="Q17" s="89"/>
      <c r="R17" s="90"/>
      <c r="T17" s="77">
        <f t="shared" si="1"/>
      </c>
      <c r="U17" s="98"/>
      <c r="V17" s="99"/>
      <c r="W17" s="100"/>
      <c r="X17" s="100"/>
      <c r="Y17" s="115">
        <f>MAX(J17:J$22)</f>
        <v>0</v>
      </c>
      <c r="Z17" s="116">
        <f t="shared" si="4"/>
      </c>
    </row>
    <row r="18" spans="1:26" ht="11.25" customHeight="1">
      <c r="A18" s="5">
        <f>EOMONTH(A19,0)+1</f>
        <v>41518</v>
      </c>
      <c r="B18" s="52"/>
      <c r="C18" s="202"/>
      <c r="D18" s="203"/>
      <c r="E18" s="200">
        <f t="shared" si="2"/>
      </c>
      <c r="F18" s="201"/>
      <c r="G18" s="200">
        <f t="shared" si="3"/>
      </c>
      <c r="H18" s="201"/>
      <c r="I18" s="122"/>
      <c r="J18" s="127">
        <f t="shared" si="0"/>
      </c>
      <c r="K18" s="82"/>
      <c r="L18" s="88"/>
      <c r="M18" s="90"/>
      <c r="N18" s="128"/>
      <c r="O18" s="199"/>
      <c r="P18" s="87"/>
      <c r="Q18" s="89"/>
      <c r="R18" s="90"/>
      <c r="T18" s="77">
        <f t="shared" si="1"/>
      </c>
      <c r="U18" s="98"/>
      <c r="V18" s="99"/>
      <c r="W18" s="100"/>
      <c r="X18" s="100"/>
      <c r="Y18" s="115">
        <f>MAX(J18:J$22)</f>
        <v>0</v>
      </c>
      <c r="Z18" s="116">
        <f t="shared" si="4"/>
      </c>
    </row>
    <row r="19" spans="1:26" ht="11.25" customHeight="1">
      <c r="A19" s="5">
        <f>EOMONTH(A20,0)+1</f>
        <v>41487</v>
      </c>
      <c r="B19" s="52"/>
      <c r="C19" s="202"/>
      <c r="D19" s="203"/>
      <c r="E19" s="200">
        <f>IF(C19="","",(C19-C20)*240)</f>
      </c>
      <c r="F19" s="201"/>
      <c r="G19" s="200">
        <f>IF(C19="","",E19/DATEDIF(A20,A19,"d"))</f>
      </c>
      <c r="H19" s="201"/>
      <c r="I19" s="122"/>
      <c r="J19" s="127">
        <f t="shared" si="0"/>
      </c>
      <c r="K19" s="82"/>
      <c r="L19" s="88"/>
      <c r="M19" s="90"/>
      <c r="N19" s="128"/>
      <c r="O19" s="199"/>
      <c r="P19" s="87"/>
      <c r="Q19" s="89"/>
      <c r="R19" s="90"/>
      <c r="T19" s="77">
        <f t="shared" si="1"/>
      </c>
      <c r="U19" s="98"/>
      <c r="V19" s="99"/>
      <c r="W19" s="100"/>
      <c r="X19" s="100"/>
      <c r="Y19" s="115">
        <f>MAX(J19:J$22)</f>
        <v>0</v>
      </c>
      <c r="Z19" s="116">
        <f>IF(K19="","",ROUND(Y19,0)*$Z$8*(1+(85-K19)/100))</f>
      </c>
    </row>
    <row r="20" spans="1:26" ht="11.25" customHeight="1">
      <c r="A20" s="5">
        <f>EOMONTH(A21,0)+1</f>
        <v>41456</v>
      </c>
      <c r="B20" s="52"/>
      <c r="C20" s="202"/>
      <c r="D20" s="203"/>
      <c r="E20" s="200">
        <f>IF(C20="","",(C20-C21)*240)</f>
      </c>
      <c r="F20" s="201"/>
      <c r="G20" s="200">
        <f>IF(C20="","",E20/DATEDIF(A21,A20,"d"))</f>
      </c>
      <c r="H20" s="201"/>
      <c r="I20" s="122"/>
      <c r="J20" s="127">
        <f t="shared" si="0"/>
      </c>
      <c r="K20" s="82"/>
      <c r="L20" s="88"/>
      <c r="M20" s="90"/>
      <c r="N20" s="128"/>
      <c r="O20" s="199"/>
      <c r="P20" s="87"/>
      <c r="Q20" s="89"/>
      <c r="R20" s="90"/>
      <c r="T20" s="77">
        <f t="shared" si="1"/>
      </c>
      <c r="U20" s="98"/>
      <c r="V20" s="99"/>
      <c r="W20" s="100"/>
      <c r="X20" s="100"/>
      <c r="Y20" s="115">
        <f>MAX(J20:J$22)</f>
        <v>0</v>
      </c>
      <c r="Z20" s="116">
        <f>IF(K20="","",ROUND(Y20,0)*$Z$8*(1+(85-K20)/100))</f>
      </c>
    </row>
    <row r="21" spans="1:26" ht="11.25" customHeight="1">
      <c r="A21" s="5">
        <f>EOMONTH(A22,0)+1</f>
        <v>41426</v>
      </c>
      <c r="B21" s="52"/>
      <c r="C21" s="202"/>
      <c r="D21" s="203"/>
      <c r="E21" s="200">
        <f>IF(C21="","",(C21-C22)*240)</f>
      </c>
      <c r="F21" s="201"/>
      <c r="G21" s="200">
        <f>IF(C21="","",E21/DATEDIF(A22,A21,"d"))</f>
      </c>
      <c r="H21" s="201"/>
      <c r="I21" s="122"/>
      <c r="J21" s="127">
        <f t="shared" si="0"/>
      </c>
      <c r="K21" s="82"/>
      <c r="L21" s="88"/>
      <c r="M21" s="90"/>
      <c r="N21" s="128"/>
      <c r="O21" s="199"/>
      <c r="P21" s="87"/>
      <c r="Q21" s="89"/>
      <c r="R21" s="90"/>
      <c r="T21" s="77">
        <f t="shared" si="1"/>
      </c>
      <c r="U21" s="98"/>
      <c r="V21" s="99"/>
      <c r="W21" s="100"/>
      <c r="X21" s="100"/>
      <c r="Y21" s="115">
        <f>MAX(J21:J$22)</f>
        <v>0</v>
      </c>
      <c r="Z21" s="116">
        <f>IF(K21="","",ROUND(Y21,0)*$Z$8*(1+(85-K21)/100))</f>
      </c>
    </row>
    <row r="22" spans="1:26" ht="11.25" customHeight="1">
      <c r="A22" s="91">
        <f>U22</f>
        <v>41416</v>
      </c>
      <c r="B22" s="52"/>
      <c r="C22" s="202">
        <v>1.21</v>
      </c>
      <c r="D22" s="203"/>
      <c r="E22" s="209"/>
      <c r="F22" s="210"/>
      <c r="G22" s="209"/>
      <c r="H22" s="210"/>
      <c r="I22" s="122">
        <v>0</v>
      </c>
      <c r="J22" s="127">
        <f t="shared" si="0"/>
        <v>0</v>
      </c>
      <c r="K22" s="82">
        <v>100</v>
      </c>
      <c r="L22" s="193" t="s">
        <v>174</v>
      </c>
      <c r="M22" s="188"/>
      <c r="N22" s="189"/>
      <c r="O22" s="190"/>
      <c r="P22" s="191"/>
      <c r="Q22" s="192"/>
      <c r="R22" s="188"/>
      <c r="T22" s="186"/>
      <c r="U22" s="98">
        <v>41416</v>
      </c>
      <c r="V22" s="99">
        <v>0.625</v>
      </c>
      <c r="W22" s="100" t="s">
        <v>125</v>
      </c>
      <c r="X22" s="100"/>
      <c r="Y22" s="115"/>
      <c r="Z22" s="116"/>
    </row>
    <row r="23" spans="1:19" ht="3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9"/>
    </row>
    <row r="24" spans="1:20" ht="12" customHeight="1">
      <c r="A24" s="36"/>
      <c r="B24" s="37"/>
      <c r="C24" s="17" t="s">
        <v>172</v>
      </c>
      <c r="D24" s="18"/>
      <c r="E24" s="18"/>
      <c r="F24" s="18"/>
      <c r="G24" s="18"/>
      <c r="H24" s="18"/>
      <c r="I24" s="18"/>
      <c r="J24" s="38"/>
      <c r="K24" s="17" t="s">
        <v>128</v>
      </c>
      <c r="L24" s="18"/>
      <c r="M24" s="18"/>
      <c r="N24" s="18"/>
      <c r="O24" s="18"/>
      <c r="P24" s="18"/>
      <c r="Q24" s="18"/>
      <c r="R24" s="38"/>
      <c r="S24" s="55"/>
      <c r="T24" s="9"/>
    </row>
    <row r="25" spans="1:20" ht="12" customHeight="1">
      <c r="A25" s="27" t="s">
        <v>11</v>
      </c>
      <c r="B25" s="39"/>
      <c r="C25" s="56" t="s">
        <v>179</v>
      </c>
      <c r="D25" s="43"/>
      <c r="E25" s="44"/>
      <c r="F25" s="42" t="s">
        <v>21</v>
      </c>
      <c r="G25" s="43"/>
      <c r="H25" s="44"/>
      <c r="I25" s="57" t="s">
        <v>8</v>
      </c>
      <c r="J25" s="58" t="s">
        <v>22</v>
      </c>
      <c r="K25" s="56" t="s">
        <v>179</v>
      </c>
      <c r="L25" s="43"/>
      <c r="M25" s="44"/>
      <c r="N25" s="42" t="s">
        <v>21</v>
      </c>
      <c r="O25" s="44"/>
      <c r="P25" s="41"/>
      <c r="Q25" s="57" t="s">
        <v>8</v>
      </c>
      <c r="R25" s="58" t="s">
        <v>22</v>
      </c>
      <c r="S25" s="55"/>
      <c r="T25" s="9"/>
    </row>
    <row r="26" spans="1:20" ht="12" customHeight="1">
      <c r="A26" s="46"/>
      <c r="B26" s="47"/>
      <c r="C26" s="59" t="s">
        <v>23</v>
      </c>
      <c r="D26" s="60" t="s">
        <v>24</v>
      </c>
      <c r="E26" s="60" t="s">
        <v>25</v>
      </c>
      <c r="F26" s="60" t="s">
        <v>26</v>
      </c>
      <c r="G26" s="60" t="s">
        <v>27</v>
      </c>
      <c r="H26" s="60" t="s">
        <v>28</v>
      </c>
      <c r="I26" s="61" t="s">
        <v>29</v>
      </c>
      <c r="J26" s="62" t="s">
        <v>20</v>
      </c>
      <c r="K26" s="59" t="s">
        <v>30</v>
      </c>
      <c r="L26" s="60" t="s">
        <v>91</v>
      </c>
      <c r="M26" s="60" t="s">
        <v>25</v>
      </c>
      <c r="N26" s="60" t="s">
        <v>26</v>
      </c>
      <c r="O26" s="60" t="s">
        <v>28</v>
      </c>
      <c r="P26" s="60" t="s">
        <v>92</v>
      </c>
      <c r="Q26" s="61" t="s">
        <v>29</v>
      </c>
      <c r="R26" s="62" t="s">
        <v>20</v>
      </c>
      <c r="S26" s="55"/>
      <c r="T26" s="184"/>
    </row>
    <row r="27" spans="1:20" ht="11.25" customHeight="1">
      <c r="A27" s="53">
        <f>EOMONTH(A28,0)+1</f>
        <v>41760</v>
      </c>
      <c r="B27" s="52"/>
      <c r="C27" s="1"/>
      <c r="D27" s="2"/>
      <c r="E27" s="2"/>
      <c r="F27" s="2"/>
      <c r="G27" s="2"/>
      <c r="H27" s="2"/>
      <c r="I27" s="2"/>
      <c r="J27" s="110"/>
      <c r="K27" s="1"/>
      <c r="L27" s="2"/>
      <c r="M27" s="2"/>
      <c r="N27" s="2"/>
      <c r="O27" s="2"/>
      <c r="P27" s="2"/>
      <c r="Q27" s="2"/>
      <c r="R27" s="111"/>
      <c r="S27" s="55"/>
      <c r="T27" s="9"/>
    </row>
    <row r="28" spans="1:20" ht="11.25" customHeight="1">
      <c r="A28" s="53">
        <f>EOMONTH(A29,0)+1</f>
        <v>41730</v>
      </c>
      <c r="B28" s="52"/>
      <c r="C28" s="1"/>
      <c r="D28" s="2"/>
      <c r="E28" s="2"/>
      <c r="F28" s="2"/>
      <c r="G28" s="2"/>
      <c r="H28" s="2"/>
      <c r="I28" s="2"/>
      <c r="J28" s="110"/>
      <c r="K28" s="1"/>
      <c r="L28" s="2"/>
      <c r="M28" s="2"/>
      <c r="N28" s="2"/>
      <c r="O28" s="2"/>
      <c r="P28" s="2"/>
      <c r="Q28" s="2"/>
      <c r="R28" s="111"/>
      <c r="S28" s="55"/>
      <c r="T28" s="9"/>
    </row>
    <row r="29" spans="1:20" ht="11.25" customHeight="1">
      <c r="A29" s="53">
        <f>EOMONTH(A30,0)+1</f>
        <v>41699</v>
      </c>
      <c r="B29" s="52"/>
      <c r="C29" s="1"/>
      <c r="D29" s="2"/>
      <c r="E29" s="2"/>
      <c r="F29" s="2"/>
      <c r="G29" s="2"/>
      <c r="H29" s="2"/>
      <c r="I29" s="2"/>
      <c r="J29" s="110"/>
      <c r="K29" s="1"/>
      <c r="L29" s="2"/>
      <c r="M29" s="2"/>
      <c r="N29" s="2"/>
      <c r="O29" s="2"/>
      <c r="P29" s="2"/>
      <c r="Q29" s="2"/>
      <c r="R29" s="111"/>
      <c r="S29" s="55"/>
      <c r="T29" s="9"/>
    </row>
    <row r="30" spans="1:20" ht="11.25" customHeight="1">
      <c r="A30" s="53">
        <f>EOMONTH(A31,0)+1</f>
        <v>41671</v>
      </c>
      <c r="B30" s="52"/>
      <c r="C30" s="1"/>
      <c r="D30" s="2"/>
      <c r="E30" s="2"/>
      <c r="F30" s="2"/>
      <c r="G30" s="2"/>
      <c r="H30" s="2"/>
      <c r="I30" s="2"/>
      <c r="J30" s="110"/>
      <c r="K30" s="1"/>
      <c r="L30" s="2"/>
      <c r="M30" s="2"/>
      <c r="N30" s="2"/>
      <c r="O30" s="2"/>
      <c r="P30" s="2"/>
      <c r="Q30" s="2"/>
      <c r="R30" s="111"/>
      <c r="S30" s="55"/>
      <c r="T30" s="9"/>
    </row>
    <row r="31" spans="1:20" ht="11.25" customHeight="1">
      <c r="A31" s="53">
        <f>EOMONTH(A32,0)+1</f>
        <v>41640</v>
      </c>
      <c r="B31" s="52"/>
      <c r="C31" s="1"/>
      <c r="D31" s="2"/>
      <c r="E31" s="2"/>
      <c r="F31" s="2"/>
      <c r="G31" s="2"/>
      <c r="H31" s="2"/>
      <c r="I31" s="2"/>
      <c r="J31" s="110"/>
      <c r="K31" s="1"/>
      <c r="L31" s="2"/>
      <c r="M31" s="2"/>
      <c r="N31" s="2"/>
      <c r="O31" s="2"/>
      <c r="P31" s="2"/>
      <c r="Q31" s="2"/>
      <c r="R31" s="111"/>
      <c r="S31" s="55"/>
      <c r="T31" s="9"/>
    </row>
    <row r="32" spans="1:20" ht="11.25" customHeight="1">
      <c r="A32" s="53">
        <f>EOMONTH(A33,0)+1</f>
        <v>41609</v>
      </c>
      <c r="B32" s="52"/>
      <c r="C32" s="1"/>
      <c r="D32" s="2"/>
      <c r="E32" s="2"/>
      <c r="F32" s="2"/>
      <c r="G32" s="2"/>
      <c r="H32" s="2"/>
      <c r="I32" s="2"/>
      <c r="J32" s="110"/>
      <c r="K32" s="1"/>
      <c r="L32" s="2"/>
      <c r="M32" s="2"/>
      <c r="N32" s="2"/>
      <c r="O32" s="2"/>
      <c r="P32" s="2"/>
      <c r="Q32" s="2"/>
      <c r="R32" s="111"/>
      <c r="S32" s="55"/>
      <c r="T32" s="9"/>
    </row>
    <row r="33" spans="1:20" ht="11.25" customHeight="1">
      <c r="A33" s="53">
        <f>EOMONTH(A34,0)+1</f>
        <v>41579</v>
      </c>
      <c r="B33" s="52"/>
      <c r="C33" s="1"/>
      <c r="D33" s="2"/>
      <c r="E33" s="2"/>
      <c r="F33" s="2"/>
      <c r="G33" s="2"/>
      <c r="H33" s="2"/>
      <c r="I33" s="2"/>
      <c r="J33" s="110"/>
      <c r="K33" s="1"/>
      <c r="L33" s="2"/>
      <c r="M33" s="2"/>
      <c r="N33" s="2"/>
      <c r="O33" s="2"/>
      <c r="P33" s="2"/>
      <c r="Q33" s="2"/>
      <c r="R33" s="111"/>
      <c r="S33" s="55"/>
      <c r="T33" s="9"/>
    </row>
    <row r="34" spans="1:20" ht="11.25" customHeight="1">
      <c r="A34" s="53">
        <f>EOMONTH(A35,0)+1</f>
        <v>41548</v>
      </c>
      <c r="B34" s="52"/>
      <c r="C34" s="1"/>
      <c r="D34" s="2"/>
      <c r="E34" s="2"/>
      <c r="F34" s="2"/>
      <c r="G34" s="2"/>
      <c r="H34" s="2"/>
      <c r="I34" s="2"/>
      <c r="J34" s="110"/>
      <c r="K34" s="1"/>
      <c r="L34" s="2"/>
      <c r="M34" s="2"/>
      <c r="N34" s="2"/>
      <c r="O34" s="2"/>
      <c r="P34" s="2"/>
      <c r="Q34" s="2"/>
      <c r="R34" s="111"/>
      <c r="S34" s="55"/>
      <c r="T34" s="9"/>
    </row>
    <row r="35" spans="1:20" ht="11.25" customHeight="1">
      <c r="A35" s="53">
        <f>EOMONTH(A36,0)+1</f>
        <v>41518</v>
      </c>
      <c r="B35" s="52"/>
      <c r="C35" s="1"/>
      <c r="D35" s="2"/>
      <c r="E35" s="2"/>
      <c r="F35" s="2"/>
      <c r="G35" s="2"/>
      <c r="H35" s="2"/>
      <c r="I35" s="2"/>
      <c r="J35" s="110"/>
      <c r="K35" s="1"/>
      <c r="L35" s="2"/>
      <c r="M35" s="2"/>
      <c r="N35" s="2"/>
      <c r="O35" s="2"/>
      <c r="P35" s="2"/>
      <c r="Q35" s="2"/>
      <c r="R35" s="111"/>
      <c r="S35" s="55"/>
      <c r="T35" s="9"/>
    </row>
    <row r="36" spans="1:20" ht="11.25" customHeight="1">
      <c r="A36" s="53">
        <f>EOMONTH(A37,0)+1</f>
        <v>41487</v>
      </c>
      <c r="B36" s="52"/>
      <c r="C36" s="1"/>
      <c r="D36" s="2"/>
      <c r="E36" s="2"/>
      <c r="F36" s="2"/>
      <c r="G36" s="2"/>
      <c r="H36" s="2"/>
      <c r="I36" s="2"/>
      <c r="J36" s="110"/>
      <c r="K36" s="1"/>
      <c r="L36" s="2"/>
      <c r="M36" s="2"/>
      <c r="N36" s="2"/>
      <c r="O36" s="2"/>
      <c r="P36" s="2"/>
      <c r="Q36" s="2"/>
      <c r="R36" s="111"/>
      <c r="S36" s="55"/>
      <c r="T36" s="9"/>
    </row>
    <row r="37" spans="1:20" ht="11.25" customHeight="1">
      <c r="A37" s="53">
        <f>EOMONTH(A38,0)+1</f>
        <v>41456</v>
      </c>
      <c r="B37" s="52"/>
      <c r="C37" s="1"/>
      <c r="D37" s="2"/>
      <c r="E37" s="2"/>
      <c r="F37" s="2"/>
      <c r="G37" s="2"/>
      <c r="H37" s="2"/>
      <c r="I37" s="2"/>
      <c r="J37" s="110"/>
      <c r="K37" s="1"/>
      <c r="L37" s="2"/>
      <c r="M37" s="2"/>
      <c r="N37" s="2"/>
      <c r="O37" s="2"/>
      <c r="P37" s="2"/>
      <c r="Q37" s="2"/>
      <c r="R37" s="111"/>
      <c r="S37" s="55"/>
      <c r="T37" s="9"/>
    </row>
    <row r="38" spans="1:20" ht="11.25" customHeight="1">
      <c r="A38" s="53">
        <v>41426</v>
      </c>
      <c r="B38" s="52"/>
      <c r="C38" s="1"/>
      <c r="D38" s="2"/>
      <c r="E38" s="2"/>
      <c r="F38" s="2"/>
      <c r="G38" s="2"/>
      <c r="H38" s="2"/>
      <c r="I38" s="2"/>
      <c r="J38" s="110"/>
      <c r="K38" s="1"/>
      <c r="L38" s="2"/>
      <c r="M38" s="2"/>
      <c r="N38" s="2"/>
      <c r="O38" s="2"/>
      <c r="P38" s="2"/>
      <c r="Q38" s="2"/>
      <c r="R38" s="111"/>
      <c r="S38" s="55"/>
      <c r="T38" s="9"/>
    </row>
    <row r="39" spans="1:19" ht="3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9"/>
    </row>
    <row r="40" spans="1:18" ht="10.5" customHeight="1">
      <c r="A40" s="204" t="s">
        <v>155</v>
      </c>
      <c r="B40" s="153" t="s">
        <v>156</v>
      </c>
      <c r="C40" s="67"/>
      <c r="D40" s="67"/>
      <c r="E40" s="67"/>
      <c r="F40" s="67"/>
      <c r="G40" s="67"/>
      <c r="H40" s="67"/>
      <c r="I40" s="154"/>
      <c r="J40" s="155" t="s">
        <v>157</v>
      </c>
      <c r="K40" s="153" t="s">
        <v>158</v>
      </c>
      <c r="L40" s="67"/>
      <c r="M40" s="67"/>
      <c r="N40" s="67"/>
      <c r="O40" s="67"/>
      <c r="P40" s="67"/>
      <c r="Q40" s="154"/>
      <c r="R40" s="155" t="s">
        <v>157</v>
      </c>
    </row>
    <row r="41" spans="1:18" ht="21.75" customHeight="1">
      <c r="A41" s="205"/>
      <c r="B41" s="206" t="s">
        <v>159</v>
      </c>
      <c r="C41" s="207"/>
      <c r="D41" s="207"/>
      <c r="E41" s="207"/>
      <c r="F41" s="207"/>
      <c r="G41" s="207"/>
      <c r="H41" s="207"/>
      <c r="I41" s="208"/>
      <c r="J41" s="157" t="s">
        <v>157</v>
      </c>
      <c r="K41" s="206" t="s">
        <v>160</v>
      </c>
      <c r="L41" s="207"/>
      <c r="M41" s="207"/>
      <c r="N41" s="207"/>
      <c r="O41" s="207"/>
      <c r="P41" s="207"/>
      <c r="Q41" s="208"/>
      <c r="R41" s="157" t="s">
        <v>157</v>
      </c>
    </row>
    <row r="42" spans="1:18" ht="10.5" customHeight="1" thickBot="1">
      <c r="A42" s="205"/>
      <c r="B42" s="158" t="s">
        <v>161</v>
      </c>
      <c r="C42" s="159"/>
      <c r="D42" s="159"/>
      <c r="E42" s="159"/>
      <c r="F42" s="159"/>
      <c r="G42" s="159"/>
      <c r="H42" s="159"/>
      <c r="I42" s="160"/>
      <c r="J42" s="183" t="s">
        <v>157</v>
      </c>
      <c r="K42" s="158" t="s">
        <v>162</v>
      </c>
      <c r="L42" s="159"/>
      <c r="M42" s="159"/>
      <c r="N42" s="159"/>
      <c r="O42" s="159"/>
      <c r="P42" s="159"/>
      <c r="Q42" s="160"/>
      <c r="R42" s="183" t="s">
        <v>157</v>
      </c>
    </row>
    <row r="43" spans="1:18" ht="15" customHeight="1" thickTop="1">
      <c r="A43" s="162" t="s">
        <v>163</v>
      </c>
      <c r="B43" s="163"/>
      <c r="C43" s="163"/>
      <c r="D43" s="163"/>
      <c r="E43" s="163"/>
      <c r="F43" s="163"/>
      <c r="G43" s="163"/>
      <c r="H43" s="163"/>
      <c r="I43" s="151"/>
      <c r="J43" s="152" t="s">
        <v>31</v>
      </c>
      <c r="K43" s="162" t="s">
        <v>163</v>
      </c>
      <c r="L43" s="163"/>
      <c r="M43" s="163"/>
      <c r="N43" s="163"/>
      <c r="O43" s="163"/>
      <c r="P43" s="163"/>
      <c r="Q43" s="151"/>
      <c r="R43" s="152" t="s">
        <v>31</v>
      </c>
    </row>
    <row r="44" spans="1:18" ht="10.5" customHeight="1">
      <c r="A44" s="179"/>
      <c r="B44" s="158" t="s">
        <v>37</v>
      </c>
      <c r="C44" s="159"/>
      <c r="D44" s="160"/>
      <c r="E44" s="164" t="s">
        <v>38</v>
      </c>
      <c r="F44" s="159"/>
      <c r="G44" s="159"/>
      <c r="H44" s="159"/>
      <c r="I44" s="160"/>
      <c r="J44" s="214" t="s">
        <v>34</v>
      </c>
      <c r="K44" s="153" t="s">
        <v>35</v>
      </c>
      <c r="L44" s="67"/>
      <c r="M44" s="154"/>
      <c r="N44" s="176" t="s">
        <v>36</v>
      </c>
      <c r="O44" s="67"/>
      <c r="P44" s="67"/>
      <c r="Q44" s="154"/>
      <c r="R44" s="155" t="s">
        <v>34</v>
      </c>
    </row>
    <row r="45" spans="1:18" ht="10.5" customHeight="1">
      <c r="A45" s="179"/>
      <c r="B45" s="165"/>
      <c r="C45" s="166"/>
      <c r="D45" s="167"/>
      <c r="E45" s="168" t="s">
        <v>42</v>
      </c>
      <c r="F45" s="166"/>
      <c r="G45" s="166"/>
      <c r="H45" s="166"/>
      <c r="I45" s="167"/>
      <c r="J45" s="213"/>
      <c r="K45" s="175" t="s">
        <v>39</v>
      </c>
      <c r="L45" s="73"/>
      <c r="M45" s="156"/>
      <c r="N45" s="74" t="s">
        <v>40</v>
      </c>
      <c r="O45" s="73"/>
      <c r="P45" s="73"/>
      <c r="Q45" s="156"/>
      <c r="R45" s="157" t="s">
        <v>34</v>
      </c>
    </row>
    <row r="46" spans="1:18" ht="10.5" customHeight="1">
      <c r="A46" s="179" t="s">
        <v>41</v>
      </c>
      <c r="B46" s="158" t="s">
        <v>45</v>
      </c>
      <c r="C46" s="159"/>
      <c r="D46" s="169" t="s">
        <v>46</v>
      </c>
      <c r="E46" s="164" t="s">
        <v>168</v>
      </c>
      <c r="F46" s="159"/>
      <c r="G46" s="159"/>
      <c r="H46" s="159"/>
      <c r="I46" s="160"/>
      <c r="J46" s="212" t="s">
        <v>34</v>
      </c>
      <c r="K46" s="158" t="s">
        <v>43</v>
      </c>
      <c r="L46" s="159"/>
      <c r="M46" s="160"/>
      <c r="N46" s="164" t="s">
        <v>170</v>
      </c>
      <c r="O46" s="159"/>
      <c r="P46" s="159"/>
      <c r="Q46" s="160"/>
      <c r="R46" s="212" t="s">
        <v>34</v>
      </c>
    </row>
    <row r="47" spans="1:18" ht="10.5" customHeight="1">
      <c r="A47" s="179" t="s">
        <v>44</v>
      </c>
      <c r="B47" s="170"/>
      <c r="C47" s="171"/>
      <c r="D47" s="172"/>
      <c r="E47" s="173" t="s">
        <v>167</v>
      </c>
      <c r="F47" s="171"/>
      <c r="G47" s="171"/>
      <c r="H47" s="171"/>
      <c r="I47" s="174"/>
      <c r="J47" s="213"/>
      <c r="K47" s="165"/>
      <c r="L47" s="166" t="s">
        <v>47</v>
      </c>
      <c r="M47" s="167"/>
      <c r="N47" s="168" t="s">
        <v>169</v>
      </c>
      <c r="O47" s="166"/>
      <c r="P47" s="166"/>
      <c r="Q47" s="167"/>
      <c r="R47" s="213"/>
    </row>
    <row r="48" spans="1:18" ht="10.5" customHeight="1">
      <c r="A48" s="179" t="s">
        <v>0</v>
      </c>
      <c r="B48" s="175" t="s">
        <v>32</v>
      </c>
      <c r="C48" s="73"/>
      <c r="D48" s="156"/>
      <c r="E48" s="74" t="s">
        <v>33</v>
      </c>
      <c r="F48" s="73"/>
      <c r="G48" s="73"/>
      <c r="H48" s="73"/>
      <c r="I48" s="156"/>
      <c r="J48" s="157" t="s">
        <v>34</v>
      </c>
      <c r="K48" s="158" t="s">
        <v>48</v>
      </c>
      <c r="L48" s="159"/>
      <c r="M48" s="160"/>
      <c r="N48" s="164" t="s">
        <v>49</v>
      </c>
      <c r="O48" s="159"/>
      <c r="P48" s="159"/>
      <c r="Q48" s="160"/>
      <c r="R48" s="212" t="s">
        <v>34</v>
      </c>
    </row>
    <row r="49" spans="1:18" ht="10.5" customHeight="1">
      <c r="A49" s="179" t="s">
        <v>50</v>
      </c>
      <c r="B49" s="175" t="s">
        <v>64</v>
      </c>
      <c r="C49" s="73"/>
      <c r="D49" s="156" t="s">
        <v>65</v>
      </c>
      <c r="E49" s="74" t="s">
        <v>66</v>
      </c>
      <c r="F49" s="73"/>
      <c r="G49" s="73"/>
      <c r="H49" s="73"/>
      <c r="I49" s="156"/>
      <c r="J49" s="157" t="s">
        <v>34</v>
      </c>
      <c r="K49" s="165"/>
      <c r="L49" s="166"/>
      <c r="M49" s="167"/>
      <c r="N49" s="168" t="s">
        <v>54</v>
      </c>
      <c r="O49" s="166"/>
      <c r="P49" s="166"/>
      <c r="Q49" s="167"/>
      <c r="R49" s="213"/>
    </row>
    <row r="50" spans="1:18" ht="10.5" customHeight="1">
      <c r="A50" s="179" t="s">
        <v>55</v>
      </c>
      <c r="B50" s="158" t="s">
        <v>126</v>
      </c>
      <c r="C50" s="159"/>
      <c r="D50" s="160"/>
      <c r="E50" s="164" t="s">
        <v>103</v>
      </c>
      <c r="F50" s="159"/>
      <c r="G50" s="159"/>
      <c r="H50" s="159"/>
      <c r="I50" s="160"/>
      <c r="J50" s="161" t="s">
        <v>34</v>
      </c>
      <c r="K50" s="175" t="s">
        <v>58</v>
      </c>
      <c r="L50" s="73"/>
      <c r="M50" s="156"/>
      <c r="N50" s="74" t="s">
        <v>59</v>
      </c>
      <c r="O50" s="73"/>
      <c r="P50" s="73"/>
      <c r="Q50" s="156"/>
      <c r="R50" s="157" t="s">
        <v>34</v>
      </c>
    </row>
    <row r="51" spans="1:18" ht="10.5" customHeight="1">
      <c r="A51" s="179"/>
      <c r="B51" s="158" t="s">
        <v>164</v>
      </c>
      <c r="C51" s="159"/>
      <c r="D51" s="160"/>
      <c r="E51" s="164" t="s">
        <v>68</v>
      </c>
      <c r="F51" s="159"/>
      <c r="G51" s="159"/>
      <c r="H51" s="159"/>
      <c r="I51" s="160"/>
      <c r="J51" s="157" t="s">
        <v>107</v>
      </c>
      <c r="K51" s="175" t="s">
        <v>62</v>
      </c>
      <c r="L51" s="73"/>
      <c r="M51" s="156"/>
      <c r="N51" s="74" t="s">
        <v>63</v>
      </c>
      <c r="O51" s="73"/>
      <c r="P51" s="73"/>
      <c r="Q51" s="156"/>
      <c r="R51" s="157" t="s">
        <v>34</v>
      </c>
    </row>
    <row r="52" spans="1:18" ht="10.5" customHeight="1">
      <c r="A52" s="179"/>
      <c r="B52" s="175" t="s">
        <v>51</v>
      </c>
      <c r="C52" s="73"/>
      <c r="D52" s="156" t="s">
        <v>52</v>
      </c>
      <c r="E52" s="74" t="s">
        <v>53</v>
      </c>
      <c r="F52" s="73"/>
      <c r="G52" s="73"/>
      <c r="H52" s="73"/>
      <c r="I52" s="156"/>
      <c r="J52" s="157" t="s">
        <v>34</v>
      </c>
      <c r="K52" s="175" t="s">
        <v>93</v>
      </c>
      <c r="L52" s="73"/>
      <c r="M52" s="156"/>
      <c r="N52" s="74" t="s">
        <v>94</v>
      </c>
      <c r="O52" s="73"/>
      <c r="P52" s="73"/>
      <c r="Q52" s="156"/>
      <c r="R52" s="157" t="s">
        <v>107</v>
      </c>
    </row>
    <row r="53" spans="1:18" ht="10.5" customHeight="1">
      <c r="A53" s="179"/>
      <c r="B53" s="175" t="s">
        <v>60</v>
      </c>
      <c r="C53" s="73"/>
      <c r="D53" s="156"/>
      <c r="E53" s="74" t="s">
        <v>61</v>
      </c>
      <c r="F53" s="73"/>
      <c r="G53" s="73"/>
      <c r="H53" s="73"/>
      <c r="I53" s="156"/>
      <c r="J53" s="157" t="s">
        <v>34</v>
      </c>
      <c r="K53" s="175" t="s">
        <v>67</v>
      </c>
      <c r="L53" s="73"/>
      <c r="M53" s="156"/>
      <c r="N53" s="74" t="s">
        <v>127</v>
      </c>
      <c r="O53" s="73"/>
      <c r="P53" s="73"/>
      <c r="Q53" s="156"/>
      <c r="R53" s="157" t="s">
        <v>34</v>
      </c>
    </row>
    <row r="54" spans="1:18" ht="10.5" customHeight="1">
      <c r="A54" s="179"/>
      <c r="B54" s="175" t="s">
        <v>56</v>
      </c>
      <c r="C54" s="73"/>
      <c r="D54" s="156"/>
      <c r="E54" s="74" t="s">
        <v>57</v>
      </c>
      <c r="F54" s="73"/>
      <c r="G54" s="73"/>
      <c r="H54" s="73"/>
      <c r="I54" s="156"/>
      <c r="J54" s="157" t="s">
        <v>34</v>
      </c>
      <c r="K54" s="158" t="s">
        <v>69</v>
      </c>
      <c r="L54" s="159"/>
      <c r="M54" s="160"/>
      <c r="N54" s="164" t="s">
        <v>70</v>
      </c>
      <c r="O54" s="159"/>
      <c r="P54" s="159"/>
      <c r="Q54" s="160"/>
      <c r="R54" s="161" t="s">
        <v>34</v>
      </c>
    </row>
    <row r="55" spans="1:18" ht="10.5" customHeight="1">
      <c r="A55" s="134"/>
      <c r="B55" s="153" t="s">
        <v>95</v>
      </c>
      <c r="C55" s="67"/>
      <c r="D55" s="154"/>
      <c r="E55" s="176" t="s">
        <v>33</v>
      </c>
      <c r="F55" s="67"/>
      <c r="G55" s="67"/>
      <c r="H55" s="67"/>
      <c r="I55" s="154"/>
      <c r="J55" s="155" t="s">
        <v>107</v>
      </c>
      <c r="K55" s="153" t="s">
        <v>81</v>
      </c>
      <c r="L55" s="67"/>
      <c r="M55" s="154"/>
      <c r="N55" s="176" t="s">
        <v>79</v>
      </c>
      <c r="O55" s="67"/>
      <c r="P55" s="67"/>
      <c r="Q55" s="154"/>
      <c r="R55" s="155" t="s">
        <v>34</v>
      </c>
    </row>
    <row r="56" spans="1:18" ht="10.5" customHeight="1">
      <c r="A56" s="179" t="s">
        <v>72</v>
      </c>
      <c r="B56" s="177" t="s">
        <v>73</v>
      </c>
      <c r="C56" s="73"/>
      <c r="D56" s="156"/>
      <c r="E56" s="74" t="s">
        <v>96</v>
      </c>
      <c r="F56" s="73"/>
      <c r="G56" s="73"/>
      <c r="H56" s="73"/>
      <c r="I56" s="156"/>
      <c r="J56" s="157" t="s">
        <v>108</v>
      </c>
      <c r="K56" s="175" t="s">
        <v>77</v>
      </c>
      <c r="L56" s="73"/>
      <c r="M56" s="156"/>
      <c r="N56" s="74" t="s">
        <v>78</v>
      </c>
      <c r="O56" s="73"/>
      <c r="P56" s="73"/>
      <c r="Q56" s="156"/>
      <c r="R56" s="157" t="s">
        <v>34</v>
      </c>
    </row>
    <row r="57" spans="1:18" ht="10.5" customHeight="1">
      <c r="A57" s="179" t="s">
        <v>75</v>
      </c>
      <c r="B57" s="178"/>
      <c r="C57" s="74" t="s">
        <v>165</v>
      </c>
      <c r="D57" s="156"/>
      <c r="E57" s="74" t="s">
        <v>71</v>
      </c>
      <c r="F57" s="73"/>
      <c r="G57" s="73"/>
      <c r="H57" s="73"/>
      <c r="I57" s="156"/>
      <c r="J57" s="157" t="s">
        <v>89</v>
      </c>
      <c r="K57" s="175" t="s">
        <v>97</v>
      </c>
      <c r="L57" s="73"/>
      <c r="M57" s="156"/>
      <c r="N57" s="74" t="s">
        <v>80</v>
      </c>
      <c r="O57" s="73"/>
      <c r="P57" s="73"/>
      <c r="Q57" s="156"/>
      <c r="R57" s="157" t="s">
        <v>34</v>
      </c>
    </row>
    <row r="58" spans="1:18" ht="10.5" customHeight="1">
      <c r="A58" s="179" t="s">
        <v>50</v>
      </c>
      <c r="B58" s="178"/>
      <c r="C58" s="73" t="s">
        <v>76</v>
      </c>
      <c r="D58" s="156"/>
      <c r="E58" s="74" t="s">
        <v>74</v>
      </c>
      <c r="F58" s="73"/>
      <c r="G58" s="73"/>
      <c r="H58" s="73"/>
      <c r="I58" s="156"/>
      <c r="J58" s="157" t="s">
        <v>34</v>
      </c>
      <c r="K58" s="175" t="s">
        <v>62</v>
      </c>
      <c r="L58" s="73"/>
      <c r="M58" s="156"/>
      <c r="N58" s="74" t="s">
        <v>63</v>
      </c>
      <c r="O58" s="73"/>
      <c r="P58" s="73"/>
      <c r="Q58" s="156"/>
      <c r="R58" s="157" t="s">
        <v>34</v>
      </c>
    </row>
    <row r="59" spans="1:18" ht="10.5" customHeight="1">
      <c r="A59" s="179" t="s">
        <v>55</v>
      </c>
      <c r="B59" s="178"/>
      <c r="C59" s="73" t="s">
        <v>98</v>
      </c>
      <c r="D59" s="156" t="s">
        <v>99</v>
      </c>
      <c r="E59" s="74" t="s">
        <v>74</v>
      </c>
      <c r="F59" s="73"/>
      <c r="G59" s="73"/>
      <c r="H59" s="73"/>
      <c r="I59" s="156"/>
      <c r="J59" s="157" t="s">
        <v>34</v>
      </c>
      <c r="K59" s="158" t="s">
        <v>88</v>
      </c>
      <c r="L59" s="159"/>
      <c r="M59" s="160"/>
      <c r="N59" s="164" t="s">
        <v>63</v>
      </c>
      <c r="O59" s="159"/>
      <c r="P59" s="159"/>
      <c r="Q59" s="160"/>
      <c r="R59" s="157" t="s">
        <v>34</v>
      </c>
    </row>
    <row r="60" spans="1:18" ht="10.5" customHeight="1">
      <c r="A60" s="179"/>
      <c r="B60" s="178"/>
      <c r="C60" s="73"/>
      <c r="D60" s="156"/>
      <c r="E60" s="74"/>
      <c r="F60" s="73"/>
      <c r="G60" s="73"/>
      <c r="H60" s="73"/>
      <c r="I60" s="156"/>
      <c r="J60" s="157"/>
      <c r="K60" s="158" t="s">
        <v>82</v>
      </c>
      <c r="L60" s="159"/>
      <c r="M60" s="160"/>
      <c r="N60" s="164" t="s">
        <v>166</v>
      </c>
      <c r="O60" s="159"/>
      <c r="P60" s="159"/>
      <c r="Q60" s="160"/>
      <c r="R60" s="157" t="s">
        <v>34</v>
      </c>
    </row>
    <row r="61" spans="1:18" ht="3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">
      <c r="A62" s="66"/>
      <c r="B62" s="69" t="s">
        <v>171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</row>
    <row r="63" spans="1:18" ht="12">
      <c r="A63" s="64"/>
      <c r="B63" s="3"/>
      <c r="C63" s="79" t="s">
        <v>133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</row>
    <row r="64" spans="1:18" ht="12">
      <c r="A64" s="64" t="s">
        <v>83</v>
      </c>
      <c r="B64" s="1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</row>
    <row r="65" spans="1:18" ht="12">
      <c r="A65" s="64"/>
      <c r="B65" s="1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</row>
    <row r="66" spans="1:18" ht="12">
      <c r="A66" s="64" t="s">
        <v>84</v>
      </c>
      <c r="B66" s="1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</row>
    <row r="67" spans="1:18" ht="12">
      <c r="A67" s="64"/>
      <c r="B67" s="1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</row>
    <row r="68" spans="1:18" ht="12">
      <c r="A68" s="64" t="s">
        <v>85</v>
      </c>
      <c r="B68" s="1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</row>
    <row r="69" spans="1:18" ht="12">
      <c r="A69" s="64"/>
      <c r="B69" s="1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</row>
    <row r="70" spans="1:18" ht="12">
      <c r="A70" s="64" t="s">
        <v>86</v>
      </c>
      <c r="B70" s="1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</row>
    <row r="71" spans="1:18" ht="12">
      <c r="A71" s="64"/>
      <c r="B71" s="1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</row>
    <row r="72" spans="1:18" ht="12">
      <c r="A72" s="65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2"/>
    </row>
    <row r="73" ht="13.5" customHeight="1">
      <c r="B73" s="68" t="s">
        <v>87</v>
      </c>
    </row>
  </sheetData>
  <sheetProtection/>
  <mergeCells count="48">
    <mergeCell ref="G13:H13"/>
    <mergeCell ref="J4:J5"/>
    <mergeCell ref="C10:D10"/>
    <mergeCell ref="E10:F10"/>
    <mergeCell ref="G10:H10"/>
    <mergeCell ref="C11:D11"/>
    <mergeCell ref="E11:F11"/>
    <mergeCell ref="G11:H11"/>
    <mergeCell ref="C12:D12"/>
    <mergeCell ref="E19:F19"/>
    <mergeCell ref="G19:H19"/>
    <mergeCell ref="C16:D16"/>
    <mergeCell ref="E16:F16"/>
    <mergeCell ref="G16:H16"/>
    <mergeCell ref="C17:D17"/>
    <mergeCell ref="E17:F17"/>
    <mergeCell ref="G17:H17"/>
    <mergeCell ref="O1:R1"/>
    <mergeCell ref="R48:R49"/>
    <mergeCell ref="R46:R47"/>
    <mergeCell ref="J46:J47"/>
    <mergeCell ref="J44:J45"/>
    <mergeCell ref="A40:A42"/>
    <mergeCell ref="B41:I41"/>
    <mergeCell ref="K41:Q41"/>
    <mergeCell ref="C22:D22"/>
    <mergeCell ref="E22:F22"/>
    <mergeCell ref="G22:H22"/>
    <mergeCell ref="C21:D21"/>
    <mergeCell ref="E21:F21"/>
    <mergeCell ref="G21:H21"/>
    <mergeCell ref="C18:D18"/>
    <mergeCell ref="E18:F18"/>
    <mergeCell ref="G18:H18"/>
    <mergeCell ref="C20:D20"/>
    <mergeCell ref="E20:F20"/>
    <mergeCell ref="G20:H20"/>
    <mergeCell ref="C19:D19"/>
    <mergeCell ref="E12:F12"/>
    <mergeCell ref="G12:H12"/>
    <mergeCell ref="C15:D15"/>
    <mergeCell ref="E15:F15"/>
    <mergeCell ref="G15:H15"/>
    <mergeCell ref="C14:D14"/>
    <mergeCell ref="E14:F14"/>
    <mergeCell ref="G14:H14"/>
    <mergeCell ref="C13:D13"/>
    <mergeCell ref="E13:F13"/>
  </mergeCells>
  <conditionalFormatting sqref="J40:J42 R40:R42">
    <cfRule type="cellIs" priority="1" dxfId="1" operator="equal" stopIfTrue="1">
      <formula>"有"</formula>
    </cfRule>
  </conditionalFormatting>
  <conditionalFormatting sqref="J10:J22">
    <cfRule type="cellIs" priority="2" dxfId="0" operator="equal" stopIfTrue="1">
      <formula>$L$3</formula>
    </cfRule>
  </conditionalFormatting>
  <conditionalFormatting sqref="R3">
    <cfRule type="cellIs" priority="3" dxfId="2" operator="lessThan" stopIfTrue="1">
      <formula>0</formula>
    </cfRule>
  </conditionalFormatting>
  <dataValidations count="2">
    <dataValidation allowBlank="1" showInputMessage="1" showErrorMessage="1" imeMode="off" sqref="U10:V22 X10:X22 T5 A27:R38 A10:R22"/>
    <dataValidation allowBlank="1" showInputMessage="1" showErrorMessage="1" imeMode="hiragana" sqref="K24 C24 W10:W22 O3:P3 D2:M2 C3:E3"/>
  </dataValidations>
  <printOptions/>
  <pageMargins left="0.7874015748031497" right="0.1968503937007874" top="0.42" bottom="0.5905511811023623" header="0.31496062992125984" footer="0.39"/>
  <pageSetup horizontalDpi="300" verticalDpi="300" orientation="portrait" paperSize="9" r:id="rId1"/>
  <headerFooter alignWithMargins="0">
    <oddHeader>&amp;L&amp;"ＭＳ 明朝,標準"&amp;9（３年保存）&amp;C&amp;"ＭＳ 明朝,標準"&amp;16電気工作物通常（月次）点検実施表</oddHeader>
    <oddFooter>&amp;L&amp;"ＭＳ Ｐ明朝,標準"&amp;8&amp;F&amp;R&amp;"ＭＳ 明朝,標準"&amp;9一般社団法人北陸電気管理技術者協会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25390625" style="9" customWidth="1"/>
    <col min="2" max="2" width="5.125" style="9" customWidth="1"/>
    <col min="3" max="3" width="5.125" style="10" customWidth="1"/>
    <col min="4" max="4" width="6.75390625" style="10" customWidth="1"/>
    <col min="5" max="18" width="5.125" style="10" customWidth="1"/>
    <col min="19" max="19" width="3.75390625" style="10" customWidth="1"/>
    <col min="20" max="16384" width="9.00390625" style="10" customWidth="1"/>
  </cols>
  <sheetData>
    <row r="1" spans="1:18" ht="14.25" customHeight="1">
      <c r="A1" s="217">
        <v>41416</v>
      </c>
      <c r="B1" s="217"/>
      <c r="C1" s="217"/>
      <c r="D1" s="2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">
      <c r="A2" s="66"/>
      <c r="B2" s="69" t="s">
        <v>171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12">
      <c r="A3" s="64"/>
      <c r="B3" s="3"/>
      <c r="C3" s="79" t="s">
        <v>133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</sheetData>
  <sheetProtection/>
  <mergeCells count="1">
    <mergeCell ref="A1:D1"/>
  </mergeCells>
  <printOptions/>
  <pageMargins left="0.7874015748031497" right="0.1968503937007874" top="0.61" bottom="0.5905511811023623" header="0.31496062992125984" footer="0.5118110236220472"/>
  <pageSetup horizontalDpi="300" verticalDpi="300" orientation="portrait" paperSize="9" r:id="rId1"/>
  <headerFooter alignWithMargins="0">
    <oddHeader>&amp;L&amp;"ＭＳ 明朝,標準"&amp;9（３年保存）&amp;C&amp;"ＭＳ 明朝,標準"&amp;16電気工作物通常（月次）点検実施表</oddHeader>
    <oddFooter>&amp;L&amp;"ＭＳ Ｐ明朝,標準"&amp;8&amp;F&amp;R&amp;"ＭＳ 明朝,標準"&amp;9一般社団法人北陸電気管理技術者協会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U27" sqref="U27"/>
    </sheetView>
  </sheetViews>
  <sheetFormatPr defaultColWidth="9.00390625" defaultRowHeight="13.5"/>
  <cols>
    <col min="1" max="1" width="11.50390625" style="9" customWidth="1"/>
    <col min="2" max="16" width="4.00390625" style="10" customWidth="1"/>
    <col min="17" max="18" width="7.625" style="10" customWidth="1"/>
    <col min="19" max="19" width="9.50390625" style="10" customWidth="1"/>
    <col min="20" max="21" width="8.875" style="10" customWidth="1"/>
    <col min="22" max="22" width="6.00390625" style="10" customWidth="1"/>
    <col min="23" max="24" width="8.25390625" style="10" customWidth="1"/>
    <col min="25" max="16384" width="9.00390625" style="10" customWidth="1"/>
  </cols>
  <sheetData>
    <row r="1" spans="12:16" ht="13.5" customHeight="1">
      <c r="L1" s="132"/>
      <c r="M1" s="132"/>
      <c r="N1" s="132"/>
      <c r="O1" s="132"/>
      <c r="P1" s="132"/>
    </row>
    <row r="2" spans="1:28" ht="18" customHeight="1">
      <c r="A2" s="11" t="s">
        <v>2</v>
      </c>
      <c r="B2" s="6" t="str">
        <f>'1305'!D2&amp;" 様"</f>
        <v>○○株式会社　富山工場 様</v>
      </c>
      <c r="C2" s="6"/>
      <c r="D2" s="6"/>
      <c r="E2" s="6"/>
      <c r="F2" s="6"/>
      <c r="G2" s="6"/>
      <c r="H2" s="6"/>
      <c r="I2" s="133"/>
      <c r="J2" s="133"/>
      <c r="K2" s="133"/>
      <c r="L2" s="133"/>
      <c r="M2" s="133"/>
      <c r="N2" s="133"/>
      <c r="O2" s="133"/>
      <c r="P2" s="133"/>
      <c r="Q2" s="218">
        <f>IF('1305'!N2="",S5,'1305'!N2)</f>
        <v>41416</v>
      </c>
      <c r="R2" s="219"/>
      <c r="AA2" s="84" t="s">
        <v>134</v>
      </c>
      <c r="AB2" s="38"/>
    </row>
    <row r="3" spans="20:28" ht="12">
      <c r="T3" s="134" t="s">
        <v>135</v>
      </c>
      <c r="U3" s="134" t="s">
        <v>135</v>
      </c>
      <c r="W3" s="134" t="s">
        <v>136</v>
      </c>
      <c r="X3" s="134" t="s">
        <v>136</v>
      </c>
      <c r="Y3" s="17" t="s">
        <v>13</v>
      </c>
      <c r="Z3" s="38"/>
      <c r="AA3" s="135" t="s">
        <v>137</v>
      </c>
      <c r="AB3" s="136" t="s">
        <v>138</v>
      </c>
    </row>
    <row r="4" spans="19:28" ht="12">
      <c r="S4" s="63" t="s">
        <v>139</v>
      </c>
      <c r="T4" s="65" t="s">
        <v>140</v>
      </c>
      <c r="U4" s="65" t="s">
        <v>105</v>
      </c>
      <c r="V4" s="137" t="s">
        <v>141</v>
      </c>
      <c r="W4" s="138" t="s">
        <v>142</v>
      </c>
      <c r="X4" s="65" t="s">
        <v>143</v>
      </c>
      <c r="Y4" s="139" t="s">
        <v>16</v>
      </c>
      <c r="Z4" s="140" t="s">
        <v>17</v>
      </c>
      <c r="AA4" s="141">
        <v>11.41</v>
      </c>
      <c r="AB4" s="142">
        <v>10.4</v>
      </c>
    </row>
    <row r="5" spans="19:28" ht="12">
      <c r="S5" s="143">
        <f>'1305'!$A11</f>
        <v>41730</v>
      </c>
      <c r="T5" s="144">
        <f>IF('1305'!$J11="","",'1305'!$J11)</f>
      </c>
      <c r="U5" s="145">
        <f>IF('1305'!$Y11="","",ROUND('1305'!$Y11,0))</f>
        <v>0</v>
      </c>
      <c r="V5" s="146" t="str">
        <f aca="true" t="shared" si="0" ref="V5:V16">MONTH($S5)&amp;"月"</f>
        <v>4月</v>
      </c>
      <c r="W5" s="147">
        <f>IF('1305'!$Z11="","",'1305'!$Z11/1000)</f>
      </c>
      <c r="X5" s="147">
        <f>(AA5+AB5)/1000</f>
        <v>0</v>
      </c>
      <c r="Y5" s="131">
        <f>IF('1305'!$E11="","",'1305'!$E11)</f>
      </c>
      <c r="Z5" s="131">
        <f>IF('1305'!$G11="","",'1305'!$G11)</f>
      </c>
      <c r="AA5" s="148">
        <f aca="true" t="shared" si="1" ref="AA5:AA16">IF(AND(7&lt;MONTH($S5),MONTH($S5)&lt;11,$Y5&lt;&gt;""),$Y5*AA$4,0)</f>
        <v>0</v>
      </c>
      <c r="AB5" s="149">
        <f aca="true" t="shared" si="2" ref="AB5:AB16">IF(AND((OR(10&lt;MONTH($S5),MONTH($S5)&lt;8)),$Y5&lt;&gt;""),$Y5*AB$4,0)</f>
        <v>0</v>
      </c>
    </row>
    <row r="6" spans="19:28" ht="12">
      <c r="S6" s="143">
        <f>'1305'!$A12</f>
        <v>41699</v>
      </c>
      <c r="T6" s="144">
        <f>IF('1305'!$J12="","",'1305'!$J12)</f>
      </c>
      <c r="U6" s="145">
        <f>IF('1305'!$Y12="","",ROUND('1305'!$Y12,0))</f>
        <v>0</v>
      </c>
      <c r="V6" s="146" t="str">
        <f t="shared" si="0"/>
        <v>3月</v>
      </c>
      <c r="W6" s="147">
        <f>IF('1305'!$Z12="","",'1305'!$Z12/1000)</f>
      </c>
      <c r="X6" s="147">
        <f aca="true" t="shared" si="3" ref="X6:X16">(AA6+AB6)/1000</f>
        <v>0</v>
      </c>
      <c r="Y6" s="131">
        <f>IF('1305'!$E12="","",'1305'!$E12)</f>
      </c>
      <c r="Z6" s="131">
        <f>IF('1305'!$G12="","",'1305'!$G12)</f>
      </c>
      <c r="AA6" s="148">
        <f t="shared" si="1"/>
        <v>0</v>
      </c>
      <c r="AB6" s="149">
        <f t="shared" si="2"/>
        <v>0</v>
      </c>
    </row>
    <row r="7" spans="19:28" ht="12">
      <c r="S7" s="143">
        <f>'1305'!$A13</f>
        <v>41671</v>
      </c>
      <c r="T7" s="144">
        <f>IF('1305'!$J13="","",'1305'!$J13)</f>
      </c>
      <c r="U7" s="145">
        <f>IF('1305'!$Y13="","",ROUND('1305'!$Y13,0))</f>
        <v>0</v>
      </c>
      <c r="V7" s="146" t="str">
        <f t="shared" si="0"/>
        <v>2月</v>
      </c>
      <c r="W7" s="147">
        <f>IF('1305'!$Z13="","",'1305'!$Z13/1000)</f>
      </c>
      <c r="X7" s="147">
        <f t="shared" si="3"/>
        <v>0</v>
      </c>
      <c r="Y7" s="131">
        <f>IF('1305'!$E13="","",'1305'!$E13)</f>
      </c>
      <c r="Z7" s="131">
        <f>IF('1305'!$G13="","",'1305'!$G13)</f>
      </c>
      <c r="AA7" s="148">
        <f t="shared" si="1"/>
        <v>0</v>
      </c>
      <c r="AB7" s="149">
        <f t="shared" si="2"/>
        <v>0</v>
      </c>
    </row>
    <row r="8" spans="19:28" ht="12">
      <c r="S8" s="143">
        <f>'1305'!$A14</f>
        <v>41640</v>
      </c>
      <c r="T8" s="144">
        <f>IF('1305'!$J14="","",'1305'!$J14)</f>
      </c>
      <c r="U8" s="145">
        <f>IF('1305'!$Y14="","",ROUND('1305'!$Y14,0))</f>
        <v>0</v>
      </c>
      <c r="V8" s="146" t="str">
        <f t="shared" si="0"/>
        <v>1月</v>
      </c>
      <c r="W8" s="147">
        <f>IF('1305'!$Z14="","",'1305'!$Z14/1000)</f>
      </c>
      <c r="X8" s="147">
        <f t="shared" si="3"/>
        <v>0</v>
      </c>
      <c r="Y8" s="131">
        <f>IF('1305'!$E14="","",'1305'!$E14)</f>
      </c>
      <c r="Z8" s="131">
        <f>IF('1305'!$G14="","",'1305'!$G14)</f>
      </c>
      <c r="AA8" s="148">
        <f t="shared" si="1"/>
        <v>0</v>
      </c>
      <c r="AB8" s="149">
        <f t="shared" si="2"/>
        <v>0</v>
      </c>
    </row>
    <row r="9" spans="19:28" ht="12">
      <c r="S9" s="143">
        <f>'1305'!$A15</f>
        <v>41609</v>
      </c>
      <c r="T9" s="144">
        <f>IF('1305'!$J15="","",'1305'!$J15)</f>
      </c>
      <c r="U9" s="145">
        <f>IF('1305'!$Y15="","",ROUND('1305'!$Y15,0))</f>
        <v>0</v>
      </c>
      <c r="V9" s="146" t="str">
        <f t="shared" si="0"/>
        <v>12月</v>
      </c>
      <c r="W9" s="147">
        <f>IF('1305'!$Z15="","",'1305'!$Z15/1000)</f>
      </c>
      <c r="X9" s="147">
        <f t="shared" si="3"/>
        <v>0</v>
      </c>
      <c r="Y9" s="131">
        <f>IF('1305'!$E15="","",'1305'!$E15)</f>
      </c>
      <c r="Z9" s="131">
        <f>IF('1305'!$G15="","",'1305'!$G15)</f>
      </c>
      <c r="AA9" s="148">
        <f t="shared" si="1"/>
        <v>0</v>
      </c>
      <c r="AB9" s="149">
        <f t="shared" si="2"/>
        <v>0</v>
      </c>
    </row>
    <row r="10" spans="19:28" ht="12">
      <c r="S10" s="143">
        <f>'1305'!$A16</f>
        <v>41579</v>
      </c>
      <c r="T10" s="144">
        <f>IF('1305'!$J16="","",'1305'!$J16)</f>
      </c>
      <c r="U10" s="145">
        <f>IF('1305'!$Y16="","",ROUND('1305'!$Y16,0))</f>
        <v>0</v>
      </c>
      <c r="V10" s="146" t="str">
        <f t="shared" si="0"/>
        <v>11月</v>
      </c>
      <c r="W10" s="147">
        <f>IF('1305'!$Z16="","",'1305'!$Z16/1000)</f>
      </c>
      <c r="X10" s="147">
        <f t="shared" si="3"/>
        <v>0</v>
      </c>
      <c r="Y10" s="131">
        <f>IF('1305'!$E16="","",'1305'!$E16)</f>
      </c>
      <c r="Z10" s="131">
        <f>IF('1305'!$G16="","",'1305'!$G16)</f>
      </c>
      <c r="AA10" s="148">
        <f t="shared" si="1"/>
        <v>0</v>
      </c>
      <c r="AB10" s="149">
        <f t="shared" si="2"/>
        <v>0</v>
      </c>
    </row>
    <row r="11" spans="19:28" ht="12">
      <c r="S11" s="143">
        <f>'1305'!$A17</f>
        <v>41548</v>
      </c>
      <c r="T11" s="144">
        <f>IF('1305'!$J17="","",'1305'!$J17)</f>
      </c>
      <c r="U11" s="145">
        <f>IF('1305'!$Y17="","",ROUND('1305'!$Y17,0))</f>
        <v>0</v>
      </c>
      <c r="V11" s="146" t="str">
        <f t="shared" si="0"/>
        <v>10月</v>
      </c>
      <c r="W11" s="147">
        <f>IF('1305'!$Z17="","",'1305'!$Z17/1000)</f>
      </c>
      <c r="X11" s="147">
        <f t="shared" si="3"/>
        <v>0</v>
      </c>
      <c r="Y11" s="131">
        <f>IF('1305'!$E17="","",'1305'!$E17)</f>
      </c>
      <c r="Z11" s="131">
        <f>IF('1305'!$G17="","",'1305'!$G17)</f>
      </c>
      <c r="AA11" s="148">
        <f t="shared" si="1"/>
        <v>0</v>
      </c>
      <c r="AB11" s="149">
        <f t="shared" si="2"/>
        <v>0</v>
      </c>
    </row>
    <row r="12" spans="19:28" ht="12">
      <c r="S12" s="143">
        <f>'1305'!$A18</f>
        <v>41518</v>
      </c>
      <c r="T12" s="144">
        <f>IF('1305'!$J18="","",'1305'!$J18)</f>
      </c>
      <c r="U12" s="145">
        <f>IF('1305'!$Y18="","",ROUND('1305'!$Y18,0))</f>
        <v>0</v>
      </c>
      <c r="V12" s="146" t="str">
        <f t="shared" si="0"/>
        <v>9月</v>
      </c>
      <c r="W12" s="147">
        <f>IF('1305'!$Z18="","",'1305'!$Z18/1000)</f>
      </c>
      <c r="X12" s="147">
        <f t="shared" si="3"/>
        <v>0</v>
      </c>
      <c r="Y12" s="131">
        <f>IF('1305'!$E18="","",'1305'!$E18)</f>
      </c>
      <c r="Z12" s="131">
        <f>IF('1305'!$G18="","",'1305'!$G18)</f>
      </c>
      <c r="AA12" s="148">
        <f t="shared" si="1"/>
        <v>0</v>
      </c>
      <c r="AB12" s="149">
        <f t="shared" si="2"/>
        <v>0</v>
      </c>
    </row>
    <row r="13" spans="19:28" ht="12">
      <c r="S13" s="143">
        <f>'1305'!$A19</f>
        <v>41487</v>
      </c>
      <c r="T13" s="144">
        <f>IF('1305'!$J19="","",'1305'!$J19)</f>
      </c>
      <c r="U13" s="145">
        <f>IF('1305'!$Y19="","",ROUND('1305'!$Y19,0))</f>
        <v>0</v>
      </c>
      <c r="V13" s="146" t="str">
        <f t="shared" si="0"/>
        <v>8月</v>
      </c>
      <c r="W13" s="147">
        <f>IF('1305'!$Z19="","",'1305'!$Z19/1000)</f>
      </c>
      <c r="X13" s="147">
        <f t="shared" si="3"/>
        <v>0</v>
      </c>
      <c r="Y13" s="131">
        <f>IF('1305'!$E19="","",'1305'!$E19)</f>
      </c>
      <c r="Z13" s="131">
        <f>IF('1305'!$G19="","",'1305'!$G19)</f>
      </c>
      <c r="AA13" s="148">
        <f t="shared" si="1"/>
        <v>0</v>
      </c>
      <c r="AB13" s="149">
        <f t="shared" si="2"/>
        <v>0</v>
      </c>
    </row>
    <row r="14" spans="19:28" ht="12">
      <c r="S14" s="143">
        <f>'1305'!$A20</f>
        <v>41456</v>
      </c>
      <c r="T14" s="144">
        <f>IF('1305'!$J20="","",'1305'!$J20)</f>
      </c>
      <c r="U14" s="145">
        <f>IF('1305'!$Y20="","",ROUND('1305'!$Y20,0))</f>
        <v>0</v>
      </c>
      <c r="V14" s="146" t="str">
        <f t="shared" si="0"/>
        <v>7月</v>
      </c>
      <c r="W14" s="147">
        <f>IF('1305'!$Z20="","",'1305'!$Z20/1000)</f>
      </c>
      <c r="X14" s="147">
        <f t="shared" si="3"/>
        <v>0</v>
      </c>
      <c r="Y14" s="131">
        <f>IF('1305'!$E20="","",'1305'!$E20)</f>
      </c>
      <c r="Z14" s="131">
        <f>IF('1305'!$G20="","",'1305'!$G20)</f>
      </c>
      <c r="AA14" s="148">
        <f t="shared" si="1"/>
        <v>0</v>
      </c>
      <c r="AB14" s="149">
        <f t="shared" si="2"/>
        <v>0</v>
      </c>
    </row>
    <row r="15" spans="19:28" ht="12">
      <c r="S15" s="143">
        <f>'1305'!$A21</f>
        <v>41426</v>
      </c>
      <c r="T15" s="144">
        <f>IF('1305'!$J21="","",'1305'!$J21)</f>
      </c>
      <c r="U15" s="145">
        <f>IF('1305'!$Y21="","",ROUND('1305'!$Y21,0))</f>
        <v>0</v>
      </c>
      <c r="V15" s="146" t="str">
        <f t="shared" si="0"/>
        <v>6月</v>
      </c>
      <c r="W15" s="147">
        <f>IF('1305'!$Z21="","",'1305'!$Z21/1000)</f>
      </c>
      <c r="X15" s="147">
        <f t="shared" si="3"/>
        <v>0</v>
      </c>
      <c r="Y15" s="131">
        <f>IF('1305'!$E21="","",'1305'!$E21)</f>
      </c>
      <c r="Z15" s="131">
        <f>IF('1305'!$G21="","",'1305'!$G21)</f>
      </c>
      <c r="AA15" s="148">
        <f t="shared" si="1"/>
        <v>0</v>
      </c>
      <c r="AB15" s="149">
        <f t="shared" si="2"/>
        <v>0</v>
      </c>
    </row>
    <row r="16" spans="19:28" ht="12">
      <c r="S16" s="143">
        <f>'1305'!$A22</f>
        <v>41416</v>
      </c>
      <c r="T16" s="144">
        <f>IF('1305'!$J22="","",'1305'!$J22)</f>
        <v>0</v>
      </c>
      <c r="U16" s="145">
        <f>IF('1305'!$Y22="","",ROUND('1305'!$Y22,0))</f>
      </c>
      <c r="V16" s="146" t="str">
        <f t="shared" si="0"/>
        <v>5月</v>
      </c>
      <c r="W16" s="147">
        <f>IF('1305'!$Z22="","",'1305'!$Z22/1000)</f>
      </c>
      <c r="X16" s="147">
        <f t="shared" si="3"/>
        <v>0</v>
      </c>
      <c r="Y16" s="131">
        <f>IF('1305'!$E22="","",'1305'!$E22)</f>
      </c>
      <c r="Z16" s="131">
        <f>IF('1305'!$G22="","",'1305'!$G22)</f>
      </c>
      <c r="AA16" s="148">
        <f t="shared" si="1"/>
        <v>0</v>
      </c>
      <c r="AB16" s="149">
        <f t="shared" si="2"/>
        <v>0</v>
      </c>
    </row>
    <row r="43" spans="1:2" ht="12">
      <c r="A43" s="150">
        <v>1</v>
      </c>
      <c r="B43" s="10" t="s">
        <v>144</v>
      </c>
    </row>
    <row r="44" ht="12">
      <c r="A44" s="150"/>
    </row>
    <row r="45" spans="1:2" ht="12">
      <c r="A45" s="150">
        <v>2</v>
      </c>
      <c r="B45" s="10" t="s">
        <v>145</v>
      </c>
    </row>
    <row r="46" ht="12">
      <c r="B46" s="10" t="s">
        <v>146</v>
      </c>
    </row>
    <row r="47" ht="12">
      <c r="A47" s="150"/>
    </row>
    <row r="48" spans="1:2" ht="12">
      <c r="A48" s="150">
        <v>3</v>
      </c>
      <c r="B48" s="10" t="s">
        <v>147</v>
      </c>
    </row>
    <row r="49" ht="12">
      <c r="B49" s="10" t="s">
        <v>148</v>
      </c>
    </row>
    <row r="50" ht="12">
      <c r="A50" s="150"/>
    </row>
    <row r="51" spans="1:2" ht="12">
      <c r="A51" s="150">
        <v>4</v>
      </c>
      <c r="B51" s="10" t="s">
        <v>149</v>
      </c>
    </row>
    <row r="52" ht="12">
      <c r="A52" s="150"/>
    </row>
    <row r="53" spans="1:3" ht="12">
      <c r="A53" s="150"/>
      <c r="C53" s="10" t="s">
        <v>151</v>
      </c>
    </row>
    <row r="54" ht="12">
      <c r="A54" s="150"/>
    </row>
    <row r="55" spans="1:3" ht="12">
      <c r="A55" s="150"/>
      <c r="C55" s="10" t="s">
        <v>152</v>
      </c>
    </row>
    <row r="56" ht="12">
      <c r="A56" s="150"/>
    </row>
    <row r="57" spans="1:2" ht="12">
      <c r="A57" s="150">
        <v>5</v>
      </c>
      <c r="B57" s="10" t="s">
        <v>150</v>
      </c>
    </row>
    <row r="58" spans="1:3" ht="12">
      <c r="A58" s="150"/>
      <c r="C58" s="10" t="s">
        <v>153</v>
      </c>
    </row>
    <row r="59" spans="1:3" ht="12">
      <c r="A59" s="150"/>
      <c r="C59" s="10" t="s">
        <v>154</v>
      </c>
    </row>
    <row r="60" ht="12">
      <c r="A60" s="150"/>
    </row>
    <row r="61" ht="12">
      <c r="A61" s="150"/>
    </row>
  </sheetData>
  <sheetProtection/>
  <mergeCells count="1">
    <mergeCell ref="Q2:R2"/>
  </mergeCells>
  <dataValidations count="2">
    <dataValidation allowBlank="1" showInputMessage="1" showErrorMessage="1" imeMode="hiragana" sqref="B2:H2"/>
    <dataValidation allowBlank="1" showInputMessage="1" showErrorMessage="1" imeMode="off" sqref="Y5:AB16"/>
  </dataValidations>
  <printOptions/>
  <pageMargins left="0.89" right="0.1968503937007874" top="1.09" bottom="0.94" header="0.64" footer="0.54"/>
  <pageSetup orientation="portrait" paperSize="9" r:id="rId2"/>
  <headerFooter alignWithMargins="0">
    <oddHeader>&amp;C&amp;"ＭＳ 明朝,標準"&amp;16デマンド及び電気料金年報（過去３年間）</oddHeader>
    <oddFooter>&amp;L&amp;"ＭＳ Ｐ明朝,標準"&amp;9&amp;F　：　&amp;A&amp;R&amp;"ＭＳ 明朝,標準"&amp;9一般社団法人北陸電気管理技術者協会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dk.ayabe</cp:lastModifiedBy>
  <cp:lastPrinted>2013-05-26T04:16:52Z</cp:lastPrinted>
  <dcterms:created xsi:type="dcterms:W3CDTF">1997-01-08T22:48:59Z</dcterms:created>
  <dcterms:modified xsi:type="dcterms:W3CDTF">2013-05-26T04:31:03Z</dcterms:modified>
  <cp:category/>
  <cp:version/>
  <cp:contentType/>
  <cp:contentStatus/>
</cp:coreProperties>
</file>