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494" activeTab="0"/>
  </bookViews>
  <sheets>
    <sheet name="0710" sheetId="1" r:id="rId1"/>
    <sheet name="メモ票" sheetId="2" r:id="rId2"/>
    <sheet name="特記" sheetId="3" r:id="rId3"/>
    <sheet name="グラフ" sheetId="4" r:id="rId4"/>
  </sheets>
  <definedNames>
    <definedName name="_xlnm.Print_Area" localSheetId="0">'0710'!$A$1:$T$369</definedName>
    <definedName name="_xlnm.Print_Area" localSheetId="3">'グラフ'!$A:$R</definedName>
    <definedName name="_xlnm.Print_Area" localSheetId="1">'メモ票'!$A$1:$R$47</definedName>
    <definedName name="_xlnm.Print_Titles" localSheetId="0">'0710'!$1:$4</definedName>
  </definedNames>
  <calcPr fullCalcOnLoad="1"/>
</workbook>
</file>

<file path=xl/sharedStrings.xml><?xml version="1.0" encoding="utf-8"?>
<sst xmlns="http://schemas.openxmlformats.org/spreadsheetml/2006/main" count="863" uniqueCount="408">
  <si>
    <t>電</t>
  </si>
  <si>
    <t>℡</t>
  </si>
  <si>
    <t>時刻</t>
  </si>
  <si>
    <t>区分開閉器</t>
  </si>
  <si>
    <t>負荷開閉器</t>
  </si>
  <si>
    <t>母線・リード線</t>
  </si>
  <si>
    <t>過熱,弛み,損傷,支持物</t>
  </si>
  <si>
    <t>ＳＯＧ操作電源</t>
  </si>
  <si>
    <t>良否</t>
  </si>
  <si>
    <t>過熱,音響,異臭</t>
  </si>
  <si>
    <t>過熱,損傷</t>
  </si>
  <si>
    <t>(検針日）</t>
  </si>
  <si>
    <t>事業場名称</t>
  </si>
  <si>
    <t>契約種別</t>
  </si>
  <si>
    <t>非常用発電機</t>
  </si>
  <si>
    <t>点検日</t>
  </si>
  <si>
    <t>電気管理技術者</t>
  </si>
  <si>
    <t>印</t>
  </si>
  <si>
    <t>～</t>
  </si>
  <si>
    <t>天候</t>
  </si>
  <si>
    <t>温度</t>
  </si>
  <si>
    <t>℃</t>
  </si>
  <si>
    <t>使用量　合計</t>
  </si>
  <si>
    <t>力</t>
  </si>
  <si>
    <t>年月日</t>
  </si>
  <si>
    <t>累積指数</t>
  </si>
  <si>
    <t>①　使用電力量</t>
  </si>
  <si>
    <t>②　使用電力量</t>
  </si>
  <si>
    <t>③＝①+②</t>
  </si>
  <si>
    <t>１日平均</t>
  </si>
  <si>
    <t>率</t>
  </si>
  <si>
    <t>〔kWh／月〕</t>
  </si>
  <si>
    <t>〔kWh／日〕</t>
  </si>
  <si>
    <t>②／③</t>
  </si>
  <si>
    <t>〔％〕</t>
  </si>
  <si>
    <t>〔mA〕</t>
  </si>
  <si>
    <t>電圧〔kV〕</t>
  </si>
  <si>
    <t>電流〔A〕</t>
  </si>
  <si>
    <t>電圧</t>
  </si>
  <si>
    <t>R-S</t>
  </si>
  <si>
    <t>S-T</t>
  </si>
  <si>
    <t>T-R</t>
  </si>
  <si>
    <t>R</t>
  </si>
  <si>
    <t>S</t>
  </si>
  <si>
    <t>T</t>
  </si>
  <si>
    <t>〔V〕</t>
  </si>
  <si>
    <t>〔℃〕</t>
  </si>
  <si>
    <t>出力</t>
  </si>
  <si>
    <t>始動</t>
  </si>
  <si>
    <t>潤滑油</t>
  </si>
  <si>
    <t>機関</t>
  </si>
  <si>
    <t>運転延</t>
  </si>
  <si>
    <t>周波数</t>
  </si>
  <si>
    <t>電池</t>
  </si>
  <si>
    <t>圧力</t>
  </si>
  <si>
    <t>回転数</t>
  </si>
  <si>
    <t>冷却水</t>
  </si>
  <si>
    <t>〔Hz〕</t>
  </si>
  <si>
    <t>〔rpm〕</t>
  </si>
  <si>
    <t>〔h〕</t>
  </si>
  <si>
    <t>※</t>
  </si>
  <si>
    <t>支持物,碍子,ケーブル,電線</t>
  </si>
  <si>
    <t>○</t>
  </si>
  <si>
    <t>計器用変成器</t>
  </si>
  <si>
    <t>過熱,外傷,音響</t>
  </si>
  <si>
    <t>ブッシング,汚損,発錆</t>
  </si>
  <si>
    <t>断線,損傷,取付状況</t>
  </si>
  <si>
    <t>受</t>
  </si>
  <si>
    <t>温度,油漏,音響,ブッシング</t>
  </si>
  <si>
    <t>配</t>
  </si>
  <si>
    <t>高圧断路器</t>
  </si>
  <si>
    <t>DS</t>
  </si>
  <si>
    <t>過熱変色,汚損,碍子</t>
  </si>
  <si>
    <t>高圧遮断器</t>
  </si>
  <si>
    <t>VCB</t>
  </si>
  <si>
    <t>過熱変色,汚損,碍子,発錆</t>
  </si>
  <si>
    <t>コンデンサ</t>
  </si>
  <si>
    <t>設</t>
  </si>
  <si>
    <t>備</t>
  </si>
  <si>
    <t>LBS</t>
  </si>
  <si>
    <t>汚損,取付状況</t>
  </si>
  <si>
    <t>キュービクル</t>
  </si>
  <si>
    <t>損傷,発錆,標識,施錠</t>
  </si>
  <si>
    <t>LA</t>
  </si>
  <si>
    <t>損傷,汚損,リード線</t>
  </si>
  <si>
    <t>負</t>
  </si>
  <si>
    <t>分電盤</t>
  </si>
  <si>
    <t>遮断器</t>
  </si>
  <si>
    <t>過熱,損傷,遮断器容量</t>
  </si>
  <si>
    <t>低圧コンデンサ</t>
  </si>
  <si>
    <t>温度,音響,異臭,膨張</t>
  </si>
  <si>
    <t>荷</t>
  </si>
  <si>
    <t>制御盤</t>
  </si>
  <si>
    <t>漏電遮断器</t>
  </si>
  <si>
    <t>照明設備</t>
  </si>
  <si>
    <t>不点,損傷</t>
  </si>
  <si>
    <t>電熱・溶接装置</t>
  </si>
  <si>
    <t>－</t>
  </si>
  <si>
    <t>分電盤・配線</t>
  </si>
  <si>
    <t>過熱,被覆損傷</t>
  </si>
  <si>
    <t>移動機器</t>
  </si>
  <si>
    <t>被覆損傷,適否</t>
  </si>
  <si>
    <t>接地線・配線器具</t>
  </si>
  <si>
    <t>過熱,断線,損傷,取付状況</t>
  </si>
  <si>
    <t>漏電火災警報器</t>
  </si>
  <si>
    <t>非常用</t>
  </si>
  <si>
    <t>原動機</t>
  </si>
  <si>
    <t>油漏れ,始動,停止,油圧</t>
  </si>
  <si>
    <t>発電設備</t>
  </si>
  <si>
    <t>発電機</t>
  </si>
  <si>
    <t>音響,過熱,刷子</t>
  </si>
  <si>
    <t>燃料</t>
  </si>
  <si>
    <t>※　点検結果　異常のないものは○印、要注意のものは△印、異常のものは×印を附し、注意をする。</t>
  </si>
  <si>
    <t>FAX・℡</t>
  </si>
  <si>
    <t>設備容量</t>
  </si>
  <si>
    <t>前回点検</t>
  </si>
  <si>
    <t>契約電力</t>
  </si>
  <si>
    <r>
      <t>始動</t>
    </r>
    <r>
      <rPr>
        <sz val="9"/>
        <rFont val="ＭＳ 明朝"/>
        <family val="1"/>
      </rPr>
      <t>［ロック解］→［手］→［ロック解］→［始］</t>
    </r>
  </si>
  <si>
    <t>[3]</t>
  </si>
  <si>
    <t>温度</t>
  </si>
  <si>
    <t>時間</t>
  </si>
  <si>
    <t>〔kW〕</t>
  </si>
  <si>
    <t>点検日</t>
  </si>
  <si>
    <t>電圧〔V〕</t>
  </si>
  <si>
    <t>冷却水</t>
  </si>
  <si>
    <t>残量</t>
  </si>
  <si>
    <t>契約電力</t>
  </si>
  <si>
    <t>燃料残量</t>
  </si>
  <si>
    <r>
      <t>停止</t>
    </r>
    <r>
      <rPr>
        <sz val="9"/>
        <rFont val="ＭＳ 明朝"/>
        <family val="1"/>
      </rPr>
      <t>［ロック解］→［停］→［ロック解］→［自］</t>
    </r>
  </si>
  <si>
    <t>自動計算</t>
  </si>
  <si>
    <t>kVA</t>
  </si>
  <si>
    <t>kW</t>
  </si>
  <si>
    <t>kVA</t>
  </si>
  <si>
    <t>指数</t>
  </si>
  <si>
    <t>最大需要電力</t>
  </si>
  <si>
    <t>月</t>
  </si>
  <si>
    <t>負荷</t>
  </si>
  <si>
    <t>率</t>
  </si>
  <si>
    <t>量率</t>
  </si>
  <si>
    <t>休日</t>
  </si>
  <si>
    <t>データ行番号</t>
  </si>
  <si>
    <t>当月シート名</t>
  </si>
  <si>
    <t>印</t>
  </si>
  <si>
    <t>代務者</t>
  </si>
  <si>
    <t>[1]</t>
  </si>
  <si>
    <t>電源</t>
  </si>
  <si>
    <t>SOG制御装置</t>
  </si>
  <si>
    <t>R-S</t>
  </si>
  <si>
    <t>N</t>
  </si>
  <si>
    <t>【燃料補充　　/  / 　　ℓ】</t>
  </si>
  <si>
    <t>腕木,支線,電線取付,傾斜</t>
  </si>
  <si>
    <t>電　柱</t>
  </si>
  <si>
    <t>接 地 線</t>
  </si>
  <si>
    <t>取引用変成器</t>
  </si>
  <si>
    <t>外観</t>
  </si>
  <si>
    <t>変 圧 器</t>
  </si>
  <si>
    <t>受 配 電 盤</t>
  </si>
  <si>
    <t>－</t>
  </si>
  <si>
    <t>○</t>
  </si>
  <si>
    <t>電磁開閉器</t>
  </si>
  <si>
    <t>点検日データ入力欄</t>
  </si>
  <si>
    <t>年月日</t>
  </si>
  <si>
    <t>時刻</t>
  </si>
  <si>
    <t>天候</t>
  </si>
  <si>
    <t>気温</t>
  </si>
  <si>
    <t>開始</t>
  </si>
  <si>
    <t>終了</t>
  </si>
  <si>
    <t>℃</t>
  </si>
  <si>
    <t>基準行№</t>
  </si>
  <si>
    <t>燃料セル</t>
  </si>
  <si>
    <t>燃料</t>
  </si>
  <si>
    <t>軽油残量</t>
  </si>
  <si>
    <t>鉛蓄電池</t>
  </si>
  <si>
    <t>基本料金</t>
  </si>
  <si>
    <t>〔円〕</t>
  </si>
  <si>
    <t>電圧・温度・液量</t>
  </si>
  <si>
    <t>特</t>
  </si>
  <si>
    <t>記</t>
  </si>
  <si>
    <t>事</t>
  </si>
  <si>
    <t>項</t>
  </si>
  <si>
    <t>№</t>
  </si>
  <si>
    <t>電圧</t>
  </si>
  <si>
    <t>液量</t>
  </si>
  <si>
    <t>扉,標識灯,錠,損傷,汚損</t>
  </si>
  <si>
    <t>○</t>
  </si>
  <si>
    <t>業務用季節別曜日別WE</t>
  </si>
  <si>
    <t>電池</t>
  </si>
  <si>
    <t>〔V〕</t>
  </si>
  <si>
    <t>借用合鍵</t>
  </si>
  <si>
    <t>比重</t>
  </si>
  <si>
    <t>潤滑油</t>
  </si>
  <si>
    <t>108kVA　非常用発電機</t>
  </si>
  <si>
    <t>漏洩</t>
  </si>
  <si>
    <t>〔mA〕</t>
  </si>
  <si>
    <t>－</t>
  </si>
  <si>
    <t>曇</t>
  </si>
  <si>
    <t>高圧受電盤（常時）【正相】</t>
  </si>
  <si>
    <t>受電ケーブルシース</t>
  </si>
  <si>
    <t>【点検場所・結果】</t>
  </si>
  <si>
    <t>時間帯別（平日）×600〔kWh〕</t>
  </si>
  <si>
    <t>×600</t>
  </si>
  <si>
    <t>時間帯別（休日）×600〔kWh〕</t>
  </si>
  <si>
    <t>WhM取替　</t>
  </si>
  <si>
    <t>6/1～6/21</t>
  </si>
  <si>
    <t>6/21～7/1</t>
  </si>
  <si>
    <t>乗率変更 ×10→600</t>
  </si>
  <si>
    <t>3φ220V 108kVA　非常用発電機　三菱PG-115LX</t>
  </si>
  <si>
    <t>満85ℓ</t>
  </si>
  <si>
    <t>&lt;50</t>
  </si>
  <si>
    <t>漏電流 〔mA〕</t>
  </si>
  <si>
    <t>（160口クランプ）</t>
  </si>
  <si>
    <t>-</t>
  </si>
  <si>
    <t>休止</t>
  </si>
  <si>
    <t>受電</t>
  </si>
  <si>
    <t>(1)</t>
  </si>
  <si>
    <t>(3)</t>
  </si>
  <si>
    <t>0710</t>
  </si>
  <si>
    <t>SC 106kVar</t>
  </si>
  <si>
    <r>
      <t>温度</t>
    </r>
    <r>
      <rPr>
        <sz val="9"/>
        <rFont val="ＭＳ 明朝"/>
        <family val="1"/>
      </rPr>
      <t>〔℃〕</t>
    </r>
  </si>
  <si>
    <t>SC</t>
  </si>
  <si>
    <t>SR</t>
  </si>
  <si>
    <t>動力盤 T2：3φ300kVA （825A）</t>
  </si>
  <si>
    <t>以下旧設備</t>
  </si>
  <si>
    <t>75k</t>
  </si>
  <si>
    <t>Var</t>
  </si>
  <si>
    <t>S-T</t>
  </si>
  <si>
    <t>S</t>
  </si>
  <si>
    <t>T</t>
  </si>
  <si>
    <r>
      <t>S-</t>
    </r>
    <r>
      <rPr>
        <sz val="10"/>
        <color indexed="21"/>
        <rFont val="ＭＳ 明朝"/>
        <family val="1"/>
      </rPr>
      <t>N</t>
    </r>
  </si>
  <si>
    <r>
      <t>T-</t>
    </r>
    <r>
      <rPr>
        <sz val="10"/>
        <color indexed="21"/>
        <rFont val="ＭＳ 明朝"/>
        <family val="1"/>
      </rPr>
      <t>N</t>
    </r>
  </si>
  <si>
    <r>
      <t>R-</t>
    </r>
    <r>
      <rPr>
        <sz val="10"/>
        <color indexed="21"/>
        <rFont val="ＭＳ 明朝"/>
        <family val="1"/>
      </rPr>
      <t>N</t>
    </r>
  </si>
  <si>
    <t>SC106kVar</t>
  </si>
  <si>
    <t>N</t>
  </si>
  <si>
    <t>N</t>
  </si>
  <si>
    <t>蓄</t>
  </si>
  <si>
    <t>電解液量</t>
  </si>
  <si>
    <t>適正液面</t>
  </si>
  <si>
    <t>電</t>
  </si>
  <si>
    <r>
      <t>F:2.18V/</t>
    </r>
    <r>
      <rPr>
        <sz val="6"/>
        <rFont val="ＭＳ 明朝"/>
        <family val="1"/>
      </rPr>
      <t xml:space="preserve">セル </t>
    </r>
    <r>
      <rPr>
        <sz val="8"/>
        <rFont val="ＭＳ 明朝"/>
        <family val="1"/>
      </rPr>
      <t>±0.05、　C:2.30V/</t>
    </r>
    <r>
      <rPr>
        <sz val="6"/>
        <rFont val="ＭＳ 明朝"/>
        <family val="1"/>
      </rPr>
      <t>セル</t>
    </r>
    <r>
      <rPr>
        <sz val="8"/>
        <rFont val="ＭＳ 明朝"/>
        <family val="1"/>
      </rPr>
      <t xml:space="preserve"> ±0.05</t>
    </r>
  </si>
  <si>
    <t>池</t>
  </si>
  <si>
    <t>±0.01</t>
  </si>
  <si>
    <r>
      <t>S</t>
    </r>
    <r>
      <rPr>
        <sz val="6"/>
        <rFont val="ＭＳ 明朝"/>
        <family val="1"/>
      </rPr>
      <t>20</t>
    </r>
    <r>
      <rPr>
        <sz val="9"/>
        <rFont val="ＭＳ 明朝"/>
        <family val="1"/>
      </rPr>
      <t>=St+0.0007(t-20)</t>
    </r>
  </si>
  <si>
    <t>液温</t>
  </si>
  <si>
    <t>過熱、不均等</t>
  </si>
  <si>
    <t>～</t>
  </si>
  <si>
    <t>電槽・極板</t>
  </si>
  <si>
    <t>変形、発錆、腐食、脱落</t>
  </si>
  <si>
    <t>全数目視点検</t>
  </si>
  <si>
    <t>№</t>
  </si>
  <si>
    <t>全測時</t>
  </si>
  <si>
    <t>表示・印刷</t>
  </si>
  <si>
    <t>比重St</t>
  </si>
  <si>
    <r>
      <t>換算</t>
    </r>
    <r>
      <rPr>
        <sz val="10"/>
        <rFont val="ＭＳ 明朝"/>
        <family val="1"/>
      </rPr>
      <t>S</t>
    </r>
    <r>
      <rPr>
        <sz val="6"/>
        <rFont val="ＭＳ 明朝"/>
        <family val="1"/>
      </rPr>
      <t>20</t>
    </r>
  </si>
  <si>
    <t>HS-80-6E　（3セル／個）　4個組　液式鉛蓄電池《GS》1995</t>
  </si>
  <si>
    <t>○</t>
  </si>
  <si>
    <t>【発電機室　発電機始動用】</t>
  </si>
  <si>
    <t>&lt;50</t>
  </si>
  <si>
    <t>電灯盤 T1：1φ150kVA （714A）S-T</t>
  </si>
  <si>
    <t>電灯盤 T3：1φ200kVA （952A）R-S</t>
  </si>
  <si>
    <t>立会開錠</t>
  </si>
  <si>
    <t>（70口クランプ）</t>
  </si>
  <si>
    <t>曇／雨</t>
  </si>
  <si>
    <t>雪｜曇</t>
  </si>
  <si>
    <t>定格消費量</t>
  </si>
  <si>
    <t>34ℓ/ｈ</t>
  </si>
  <si>
    <t>切</t>
  </si>
  <si>
    <r>
      <t>保温ヒータ</t>
    </r>
    <r>
      <rPr>
        <sz val="8"/>
        <rFont val="ＭＳ ゴシック"/>
        <family val="3"/>
      </rPr>
      <t>入</t>
    </r>
  </si>
  <si>
    <t>曇｜晴</t>
  </si>
  <si>
    <t>曇／晴</t>
  </si>
  <si>
    <t>曇／小雨</t>
  </si>
  <si>
    <t>晴</t>
  </si>
  <si>
    <t>雨</t>
  </si>
  <si>
    <t>非接触温度計にて測定　／　室温　　　℃</t>
  </si>
  <si>
    <t>〔kg/c㎡〕</t>
  </si>
  <si>
    <t>ZCT</t>
  </si>
  <si>
    <t>薄曇</t>
  </si>
  <si>
    <t>非常用発電機</t>
  </si>
  <si>
    <t>保温ヒーター</t>
  </si>
  <si>
    <t>年度</t>
  </si>
  <si>
    <t>入</t>
  </si>
  <si>
    <t>切</t>
  </si>
  <si>
    <t>雨／曇</t>
  </si>
  <si>
    <t>&lt;50</t>
  </si>
  <si>
    <t>晴｜曇</t>
  </si>
  <si>
    <t>問診</t>
  </si>
  <si>
    <t>a 電気設備の増設及び変更の工事を行ったか</t>
  </si>
  <si>
    <t>無</t>
  </si>
  <si>
    <t>d 電気機械器具等から異音、異臭の発生はないか</t>
  </si>
  <si>
    <t>c 漏電遮断器及び漏電火災警報器が動作したか</t>
  </si>
  <si>
    <t>f その他　異常に気付いたことはないか</t>
  </si>
  <si>
    <t>点検個所・点検項目</t>
  </si>
  <si>
    <t>e 配線用遮断機、ヒューズ、電動機用過負荷保護装置
　が動作したことはないか</t>
  </si>
  <si>
    <t>b 電気機器、建屋の金属部分、水道の蛇口、その他の金属部分
　にふれたとき「電撃」を感じたことはないか</t>
  </si>
  <si>
    <t>引込線路</t>
  </si>
  <si>
    <t>避 雷 器</t>
  </si>
  <si>
    <t>PAS</t>
  </si>
  <si>
    <t>カットアウト PC</t>
  </si>
  <si>
    <t>電力ヒューズ PF</t>
  </si>
  <si>
    <t>MC,MS</t>
  </si>
  <si>
    <t>計器,開閉器,継電器,汚損</t>
  </si>
  <si>
    <t>監視・保護継電器</t>
  </si>
  <si>
    <t>電 動 機</t>
  </si>
  <si>
    <t>ブッシング</t>
  </si>
  <si>
    <t>温度,油漏,音響,膨張</t>
  </si>
  <si>
    <t>高圧進相リアクトル</t>
  </si>
  <si>
    <t>測</t>
  </si>
  <si>
    <t>定</t>
  </si>
  <si>
    <t>値</t>
  </si>
  <si>
    <t>0333ホ3000</t>
  </si>
  <si>
    <t>&lt;50</t>
  </si>
  <si>
    <t>ENG室</t>
  </si>
  <si>
    <t>コイル</t>
  </si>
  <si>
    <t>標準 2頁</t>
  </si>
  <si>
    <t>雪</t>
  </si>
  <si>
    <t>〔kW〕</t>
  </si>
  <si>
    <t>〔千円〕</t>
  </si>
  <si>
    <t>夏季</t>
  </si>
  <si>
    <t>他季</t>
  </si>
  <si>
    <t>年月</t>
  </si>
  <si>
    <t>最大需要</t>
  </si>
  <si>
    <t>基本料</t>
  </si>
  <si>
    <t>使用料</t>
  </si>
  <si>
    <t>〔kWH／月〕</t>
  </si>
  <si>
    <t>〔kWH／日〕</t>
  </si>
  <si>
    <t>表示の“月”は、点検・検針月であり、前月の電気使用状況を示しています。</t>
  </si>
  <si>
    <t>「契約電力」は、“その1月の最大需要電力と、前11月の最大需要電力のうち、いずれ</t>
  </si>
  <si>
    <t>電気料金単価は、同一条件で増減を比較するため、すべて平成20年3月１日改定料金を</t>
  </si>
  <si>
    <t>適用していますので、実際に支払われた金額と一致しないものがあります。</t>
  </si>
  <si>
    <t>基本料金の計算方法は、下式のとおりです。</t>
  </si>
  <si>
    <t>所見</t>
  </si>
  <si>
    <t>か大きい値とする。”規程により、決定します。</t>
  </si>
  <si>
    <r>
      <t>基本料金 ＝ [契約電力量］×[基本料金単価］×</t>
    </r>
    <r>
      <rPr>
        <sz val="10"/>
        <color indexed="12"/>
        <rFont val="ＭＳ 明朝"/>
        <family val="1"/>
      </rPr>
      <t>[1-(力率-85)÷100］</t>
    </r>
  </si>
  <si>
    <r>
      <t>式中“</t>
    </r>
    <r>
      <rPr>
        <sz val="10"/>
        <color indexed="12"/>
        <rFont val="ＭＳ 明朝"/>
        <family val="1"/>
      </rPr>
      <t>[1-(力率-85)÷100］</t>
    </r>
    <r>
      <rPr>
        <sz val="10"/>
        <rFont val="ＭＳ 明朝"/>
        <family val="1"/>
      </rPr>
      <t>”を、力率割引（85%未満の場合は割増）と言います。</t>
    </r>
  </si>
  <si>
    <t>最大</t>
  </si>
  <si>
    <t>使用</t>
  </si>
  <si>
    <t>Datas Row</t>
  </si>
  <si>
    <t>使用電力量（平日）</t>
  </si>
  <si>
    <t>使用電力量（休日）</t>
  </si>
  <si>
    <t>電力量料金（平日）</t>
  </si>
  <si>
    <t>電力量料金（休日）</t>
  </si>
  <si>
    <t>小雨</t>
  </si>
  <si>
    <t>2　電気使用状況グラフ（過去3ヶ年間分）を作成、提出しました。</t>
  </si>
  <si>
    <t>電気設備の効率的運転、電気料金節減の一助としてください。</t>
  </si>
  <si>
    <t>2　発電設備の点検結果</t>
  </si>
  <si>
    <t>始動用鉛蓄電池の全セルについて電圧、比重を測定しました。</t>
  </si>
  <si>
    <t>下行に電池全測表</t>
  </si>
  <si>
    <t>電池全測時行高 13→11</t>
  </si>
  <si>
    <t>小雨／曇</t>
  </si>
  <si>
    <r>
      <t>(2011.10.28 補液</t>
    </r>
    <r>
      <rPr>
        <sz val="10"/>
        <color indexed="12"/>
        <rFont val="ＭＳ 明朝"/>
        <family val="1"/>
      </rPr>
      <t xml:space="preserve"> 1200cc</t>
    </r>
    <r>
      <rPr>
        <sz val="10"/>
        <rFont val="ＭＳ 明朝"/>
        <family val="1"/>
      </rPr>
      <t>)</t>
    </r>
  </si>
  <si>
    <t>確認者</t>
  </si>
  <si>
    <t>雨｜曇</t>
  </si>
  <si>
    <t>キュービクル内漏電監視リレー（ＥＬＲ）が動作していました。　→リセット　ok</t>
  </si>
  <si>
    <t>曇｜雨</t>
  </si>
  <si>
    <t>ELR（低圧一括）整定値 0.2A</t>
  </si>
  <si>
    <t>Ｐ－１盤 主幹漏電ブレーカの動作原因について【2012.4.3 発生・臨時点検】</t>
  </si>
  <si>
    <t>原因回路は「エアコン1Ｅ」であり、R,S相電路の絶縁抵抗が 0MΩでした。現在開放してあります。</t>
  </si>
  <si>
    <t>2　負荷設備の点検結果</t>
  </si>
  <si>
    <t>曇／雨</t>
  </si>
  <si>
    <t>晴／曇</t>
  </si>
  <si>
    <t>全数目視点検　MAXの 100～150％</t>
  </si>
  <si>
    <t>全セルの電圧･比重測定記録　2012.5.7</t>
  </si>
  <si>
    <t>非接触温度計にて測定　／　室温23.5℃</t>
  </si>
  <si>
    <t>№１</t>
  </si>
  <si>
    <t>№２</t>
  </si>
  <si>
    <t>№３</t>
  </si>
  <si>
    <t>№４</t>
  </si>
  <si>
    <t>№５</t>
  </si>
  <si>
    <t>№６</t>
  </si>
  <si>
    <t>№７</t>
  </si>
  <si>
    <t>№８</t>
  </si>
  <si>
    <t>№９</t>
  </si>
  <si>
    <t>№１０</t>
  </si>
  <si>
    <t>№１１</t>
  </si>
  <si>
    <t>№１２</t>
  </si>
  <si>
    <t>今回は、全てが管理基準値の範囲にあり、良好でした。</t>
  </si>
  <si>
    <t>電圧／比重の下２桁を入力</t>
  </si>
  <si>
    <t>（定格消費34ℓ/h）</t>
  </si>
  <si>
    <t>最大需用電力は冷暖房期に増加する傾向がありますが、季節変動の幅は概ね標準</t>
  </si>
  <si>
    <t>的な傾向の範囲です。</t>
  </si>
  <si>
    <t>デマンド制御システムの目標値は300kWですが、特別な制御を発動していない現状</t>
  </si>
  <si>
    <t>によりさらに低減できる可能性があります。</t>
  </si>
  <si>
    <t>使用量（消費電力量）も、夏季冷房期間に増加しています。</t>
  </si>
  <si>
    <t>ただし、店内の温湿度管理に十分注意する必要があります。</t>
  </si>
  <si>
    <t>現在の各変圧器の漏れ電流は正常値であり、一過性の漏電または雷サージによる誤動作と思われます。</t>
  </si>
  <si>
    <t>8月1日検針の最大需用電力（220kW）が、過去12ヶ月間の最大値であり、適用されます。</t>
  </si>
  <si>
    <t>2　8月分から、契約電力が220kWになります。　対前月比▲4kW、前々月比▲12kWの減です。</t>
  </si>
  <si>
    <t>記録すべき異常な所見はありません。</t>
  </si>
  <si>
    <t>1　高・低圧受配電設備、予備発電設備、負荷設備の点検結果</t>
  </si>
  <si>
    <r>
      <t>(　　 補液</t>
    </r>
    <r>
      <rPr>
        <sz val="10"/>
        <color indexed="12"/>
        <rFont val="ＭＳ 明朝"/>
        <family val="1"/>
      </rPr>
      <t xml:space="preserve"> ＿＿＿＿cc</t>
    </r>
    <r>
      <rPr>
        <sz val="10"/>
        <rFont val="ＭＳ 明朝"/>
        <family val="1"/>
      </rPr>
      <t>)</t>
    </r>
  </si>
  <si>
    <t>HS-80-6E（3セル／個）4個組　液式鉛蓄電池《古川》2011.12</t>
  </si>
  <si>
    <t>全電池測定　</t>
  </si>
  <si>
    <t>曇｜雨</t>
  </si>
  <si>
    <t>無</t>
  </si>
  <si>
    <t>契約電力（基本料）に直結する年間のピークは夏季が上回っています。</t>
  </si>
  <si>
    <t>の過去1年間の実績において、80kW程度下回っていることから、目標値の見直し</t>
  </si>
  <si>
    <t>全数目視点検　MAXの 100～130％</t>
  </si>
  <si>
    <t>非接触温度計にて測定　／　室温19.7℃</t>
  </si>
  <si>
    <t>力率</t>
  </si>
  <si>
    <t>〔％〕</t>
  </si>
  <si>
    <t>北管協富***号</t>
  </si>
  <si>
    <t>□□　□□</t>
  </si>
  <si>
    <t>■■　■■</t>
  </si>
  <si>
    <t>***-****-****</t>
  </si>
  <si>
    <t>***-***-****</t>
  </si>
  <si>
    <t>****ア****</t>
  </si>
  <si>
    <t>株式会社○○ 富山店</t>
  </si>
  <si>
    <t>№10</t>
  </si>
  <si>
    <t>サーバー室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</si>
</sst>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-411]ggge&quot;年&quot;m&quot;月分&quot;"/>
    <numFmt numFmtId="179" formatCode="&quot;（&quot;aaa&quot;）&quot;"/>
    <numFmt numFmtId="180" formatCode="0.00_ "/>
    <numFmt numFmtId="181" formatCode="&quot;+&quot;#,##0;&quot;-&quot;#,##0"/>
    <numFmt numFmtId="182" formatCode="#,##0.0"/>
    <numFmt numFmtId="183" formatCode="0.0_);[Red]\(0.0\)"/>
    <numFmt numFmtId="184" formatCode="0.0"/>
    <numFmt numFmtId="185" formatCode="[$-411]ge&quot;年&quot;m&quot;月&quot;"/>
    <numFmt numFmtId="186" formatCode="&quot;(&quot;aaa&quot;)&quot;"/>
    <numFmt numFmtId="187" formatCode="&quot;(RT Full-Low : &quot;0&quot;%)&quot;"/>
    <numFmt numFmtId="188" formatCode="&quot;( &quot;0&quot;ℓ)&quot;"/>
    <numFmt numFmtId="189" formatCode="0&quot;kW&quot;;[Red]\-0"/>
    <numFmt numFmtId="190" formatCode="0&quot; kW&quot;"/>
    <numFmt numFmtId="191" formatCode="0.00_);[Red]\(0.00\)"/>
    <numFmt numFmtId="192" formatCode="0.000_ ;[Red]\-0.000\ "/>
    <numFmt numFmtId="193" formatCode="#,##0.0;[Red]\-#,##0.0"/>
    <numFmt numFmtId="194" formatCode="yyyy/mm/dd"/>
    <numFmt numFmtId="195" formatCode="h:mm;@"/>
    <numFmt numFmtId="196" formatCode="0.00_ ;[Red]\-0.00\ "/>
    <numFmt numFmtId="197" formatCode="m&quot;月&quot;d&quot;日&quot;;@"/>
    <numFmt numFmtId="198" formatCode="yyyy&quot;年&quot;m&quot;月&quot;d&quot;日&quot;;@"/>
    <numFmt numFmtId="199" formatCode="&quot;(@&quot;0&quot;)&quot;"/>
    <numFmt numFmtId="200" formatCode="&quot;(前回 &quot;0&quot;ℓ)&quot;"/>
    <numFmt numFmtId="201" formatCode="#,##0_ ;[Red]\-#,##0\ "/>
    <numFmt numFmtId="202" formatCode="0.000_);[Red]\(0.000\)"/>
    <numFmt numFmtId="203" formatCode="#,##0.000"/>
    <numFmt numFmtId="204" formatCode="0&quot;℃&quot;"/>
    <numFmt numFmtId="205" formatCode="yyyy\.m\.d"/>
    <numFmt numFmtId="206" formatCode="[$-411]ggge&quot;年&quot;m&quot;月&quot;d&quot;日（&quot;aaa&quot;）&quot;"/>
    <numFmt numFmtId="207" formatCode="yyyy"/>
    <numFmt numFmtId="208" formatCode="m&quot;月&quot;d&quot;日 &quot;aaa"/>
    <numFmt numFmtId="209" formatCode="0.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color indexed="23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color indexed="23"/>
      <name val="ＭＳ 明朝"/>
      <family val="1"/>
    </font>
    <font>
      <sz val="10"/>
      <color indexed="17"/>
      <name val="ＭＳ ゴシック"/>
      <family val="3"/>
    </font>
    <font>
      <sz val="10"/>
      <color indexed="17"/>
      <name val="ＭＳ 明朝"/>
      <family val="1"/>
    </font>
    <font>
      <sz val="9"/>
      <color indexed="17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9"/>
      <color indexed="12"/>
      <name val="ＭＳ ゴシック"/>
      <family val="3"/>
    </font>
    <font>
      <sz val="10"/>
      <color indexed="10"/>
      <name val="ＭＳ 明朝"/>
      <family val="1"/>
    </font>
    <font>
      <sz val="10"/>
      <color indexed="2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8"/>
      <color indexed="12"/>
      <name val="ＭＳ 明朝"/>
      <family val="1"/>
    </font>
    <font>
      <sz val="8"/>
      <color indexed="10"/>
      <name val="ＭＳ ゴシック"/>
      <family val="3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17"/>
      <name val="ＭＳ ゴシック"/>
      <family val="3"/>
    </font>
    <font>
      <sz val="10"/>
      <color indexed="48"/>
      <name val="ＭＳ 明朝"/>
      <family val="1"/>
    </font>
    <font>
      <sz val="10"/>
      <color indexed="14"/>
      <name val="ＭＳ Ｐゴシック"/>
      <family val="3"/>
    </font>
    <font>
      <sz val="15.25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明朝"/>
      <family val="1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9.5"/>
      <color indexed="9"/>
      <name val="ＭＳ Ｐゴシック"/>
      <family val="3"/>
    </font>
    <font>
      <sz val="9.5"/>
      <color indexed="8"/>
      <name val="ＭＳ Ｐゴシック"/>
      <family val="3"/>
    </font>
    <font>
      <sz val="10.1"/>
      <color indexed="8"/>
      <name val="ＭＳ Ｐ明朝"/>
      <family val="1"/>
    </font>
    <font>
      <sz val="8.5"/>
      <color indexed="8"/>
      <name val="ＭＳ Ｐゴシック"/>
      <family val="3"/>
    </font>
    <font>
      <sz val="14.25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i/>
      <sz val="10"/>
      <name val="ＭＳ 明朝"/>
      <family val="1"/>
    </font>
    <font>
      <sz val="9"/>
      <color indexed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1"/>
      </patternFill>
    </fill>
  </fills>
  <borders count="9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11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6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7" fontId="2" fillId="0" borderId="32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57" fontId="2" fillId="0" borderId="35" xfId="0" applyNumberFormat="1" applyFont="1" applyBorder="1" applyAlignment="1">
      <alignment horizontal="center" vertical="center"/>
    </xf>
    <xf numFmtId="57" fontId="2" fillId="0" borderId="29" xfId="0" applyNumberFormat="1" applyFont="1" applyBorder="1" applyAlignment="1">
      <alignment horizontal="center" vertical="center"/>
    </xf>
    <xf numFmtId="57" fontId="2" fillId="0" borderId="36" xfId="0" applyNumberFormat="1" applyFont="1" applyBorder="1" applyAlignment="1" applyProtection="1">
      <alignment horizontal="centerContinuous" vertical="center"/>
      <protection locked="0"/>
    </xf>
    <xf numFmtId="57" fontId="2" fillId="0" borderId="37" xfId="0" applyNumberFormat="1" applyFont="1" applyBorder="1" applyAlignment="1">
      <alignment horizontal="centerContinuous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20" fontId="3" fillId="0" borderId="44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Continuous" vertical="center"/>
      <protection locked="0"/>
    </xf>
    <xf numFmtId="0" fontId="2" fillId="0" borderId="38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2" fillId="0" borderId="28" xfId="0" applyFont="1" applyBorder="1" applyAlignment="1">
      <alignment vertical="center"/>
    </xf>
    <xf numFmtId="0" fontId="2" fillId="0" borderId="44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" vertical="center"/>
    </xf>
    <xf numFmtId="179" fontId="5" fillId="0" borderId="27" xfId="0" applyNumberFormat="1" applyFont="1" applyBorder="1" applyAlignment="1">
      <alignment horizontal="center" vertical="center"/>
    </xf>
    <xf numFmtId="0" fontId="2" fillId="0" borderId="4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56" fontId="2" fillId="0" borderId="43" xfId="0" applyNumberFormat="1" applyFont="1" applyBorder="1" applyAlignment="1">
      <alignment horizontal="center" vertical="center"/>
    </xf>
    <xf numFmtId="20" fontId="3" fillId="0" borderId="46" xfId="0" applyNumberFormat="1" applyFont="1" applyBorder="1" applyAlignment="1" applyProtection="1">
      <alignment vertical="center"/>
      <protection locked="0"/>
    </xf>
    <xf numFmtId="179" fontId="5" fillId="0" borderId="44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Continuous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Continuous" vertical="center"/>
    </xf>
    <xf numFmtId="49" fontId="4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3" fillId="0" borderId="52" xfId="0" applyFont="1" applyBorder="1" applyAlignment="1">
      <alignment horizontal="centerContinuous" vertical="center"/>
    </xf>
    <xf numFmtId="0" fontId="5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Continuous" vertical="center"/>
    </xf>
    <xf numFmtId="182" fontId="2" fillId="0" borderId="15" xfId="0" applyNumberFormat="1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4" fontId="2" fillId="0" borderId="54" xfId="0" applyNumberFormat="1" applyFont="1" applyBorder="1" applyAlignment="1" applyProtection="1">
      <alignment vertical="center"/>
      <protection locked="0"/>
    </xf>
    <xf numFmtId="4" fontId="2" fillId="0" borderId="32" xfId="0" applyNumberFormat="1" applyFont="1" applyBorder="1" applyAlignment="1" applyProtection="1">
      <alignment vertical="center"/>
      <protection locked="0"/>
    </xf>
    <xf numFmtId="182" fontId="2" fillId="0" borderId="32" xfId="0" applyNumberFormat="1" applyFont="1" applyBorder="1" applyAlignment="1" applyProtection="1">
      <alignment vertical="center"/>
      <protection locked="0"/>
    </xf>
    <xf numFmtId="3" fontId="2" fillId="0" borderId="54" xfId="0" applyNumberFormat="1" applyFont="1" applyBorder="1" applyAlignment="1" applyProtection="1">
      <alignment vertical="center"/>
      <protection locked="0"/>
    </xf>
    <xf numFmtId="3" fontId="2" fillId="0" borderId="32" xfId="0" applyNumberFormat="1" applyFont="1" applyBorder="1" applyAlignment="1" applyProtection="1">
      <alignment vertical="center"/>
      <protection locked="0"/>
    </xf>
    <xf numFmtId="1" fontId="2" fillId="0" borderId="15" xfId="0" applyNumberFormat="1" applyFont="1" applyBorder="1" applyAlignment="1" applyProtection="1">
      <alignment vertical="center"/>
      <protection locked="0"/>
    </xf>
    <xf numFmtId="0" fontId="2" fillId="0" borderId="35" xfId="0" applyFont="1" applyBorder="1" applyAlignment="1">
      <alignment vertical="center"/>
    </xf>
    <xf numFmtId="185" fontId="2" fillId="0" borderId="55" xfId="0" applyNumberFormat="1" applyFont="1" applyBorder="1" applyAlignment="1" applyProtection="1">
      <alignment horizontal="centerContinuous" vertical="center"/>
      <protection locked="0"/>
    </xf>
    <xf numFmtId="185" fontId="2" fillId="0" borderId="56" xfId="0" applyNumberFormat="1" applyFont="1" applyBorder="1" applyAlignment="1">
      <alignment horizontal="centerContinuous" vertical="center"/>
    </xf>
    <xf numFmtId="57" fontId="5" fillId="0" borderId="35" xfId="0" applyNumberFormat="1" applyFont="1" applyBorder="1" applyAlignment="1">
      <alignment horizontal="centerContinuous" vertical="center"/>
    </xf>
    <xf numFmtId="57" fontId="2" fillId="0" borderId="29" xfId="0" applyNumberFormat="1" applyFont="1" applyBorder="1" applyAlignment="1">
      <alignment horizontal="centerContinuous" vertical="center"/>
    </xf>
    <xf numFmtId="0" fontId="2" fillId="0" borderId="57" xfId="0" applyFont="1" applyBorder="1" applyAlignment="1">
      <alignment horizontal="centerContinuous" vertical="center"/>
    </xf>
    <xf numFmtId="1" fontId="2" fillId="0" borderId="58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56" fontId="2" fillId="0" borderId="46" xfId="0" applyNumberFormat="1" applyFont="1" applyBorder="1" applyAlignment="1" applyProtection="1">
      <alignment horizontal="centerContinuous" vertical="center"/>
      <protection locked="0"/>
    </xf>
    <xf numFmtId="56" fontId="2" fillId="0" borderId="27" xfId="0" applyNumberFormat="1" applyFont="1" applyBorder="1" applyAlignment="1" applyProtection="1">
      <alignment horizontal="centerContinuous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56" fontId="5" fillId="0" borderId="43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horizontal="centerContinuous" vertical="center"/>
      <protection/>
    </xf>
    <xf numFmtId="0" fontId="2" fillId="0" borderId="62" xfId="0" applyFont="1" applyBorder="1" applyAlignment="1" applyProtection="1">
      <alignment horizontal="centerContinuous" vertical="center"/>
      <protection/>
    </xf>
    <xf numFmtId="0" fontId="2" fillId="0" borderId="38" xfId="0" applyFont="1" applyBorder="1" applyAlignment="1" applyProtection="1">
      <alignment horizontal="centerContinuous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0" borderId="33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63" xfId="0" applyFont="1" applyBorder="1" applyAlignment="1" applyProtection="1">
      <alignment horizontal="centerContinuous" vertical="center"/>
      <protection/>
    </xf>
    <xf numFmtId="0" fontId="2" fillId="0" borderId="64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right" vertical="center"/>
      <protection/>
    </xf>
    <xf numFmtId="177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2" fillId="0" borderId="66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7" fontId="2" fillId="0" borderId="18" xfId="0" applyNumberFormat="1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horizontal="centerContinuous" vertical="center"/>
      <protection/>
    </xf>
    <xf numFmtId="0" fontId="2" fillId="0" borderId="68" xfId="0" applyFont="1" applyBorder="1" applyAlignment="1" applyProtection="1">
      <alignment horizontal="centerContinuous" vertical="center"/>
      <protection/>
    </xf>
    <xf numFmtId="0" fontId="2" fillId="0" borderId="69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horizontal="right" vertical="center"/>
      <protection/>
    </xf>
    <xf numFmtId="0" fontId="3" fillId="0" borderId="67" xfId="0" applyFont="1" applyBorder="1" applyAlignment="1" applyProtection="1">
      <alignment horizontal="right" vertical="center"/>
      <protection/>
    </xf>
    <xf numFmtId="0" fontId="2" fillId="0" borderId="70" xfId="0" applyFont="1" applyBorder="1" applyAlignment="1" applyProtection="1">
      <alignment vertical="center"/>
      <protection/>
    </xf>
    <xf numFmtId="0" fontId="9" fillId="24" borderId="33" xfId="0" applyFont="1" applyFill="1" applyBorder="1" applyAlignment="1">
      <alignment horizontal="centerContinuous" vertical="center"/>
    </xf>
    <xf numFmtId="0" fontId="9" fillId="24" borderId="34" xfId="0" applyFont="1" applyFill="1" applyBorder="1" applyAlignment="1">
      <alignment horizontal="centerContinuous" vertical="center"/>
    </xf>
    <xf numFmtId="0" fontId="12" fillId="0" borderId="49" xfId="0" applyFont="1" applyBorder="1" applyAlignment="1">
      <alignment vertical="center"/>
    </xf>
    <xf numFmtId="0" fontId="3" fillId="0" borderId="35" xfId="0" applyFont="1" applyBorder="1" applyAlignment="1">
      <alignment horizontal="centerContinuous" vertical="center"/>
    </xf>
    <xf numFmtId="0" fontId="3" fillId="0" borderId="39" xfId="0" applyFont="1" applyBorder="1" applyAlignment="1">
      <alignment horizontal="centerContinuous" vertical="center"/>
    </xf>
    <xf numFmtId="9" fontId="2" fillId="0" borderId="58" xfId="0" applyNumberFormat="1" applyFont="1" applyBorder="1" applyAlignment="1" applyProtection="1">
      <alignment horizontal="center" vertical="center"/>
      <protection/>
    </xf>
    <xf numFmtId="0" fontId="2" fillId="0" borderId="38" xfId="0" applyFont="1" applyBorder="1" applyAlignment="1">
      <alignment horizontal="center" vertical="top"/>
    </xf>
    <xf numFmtId="0" fontId="3" fillId="0" borderId="7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56" fontId="3" fillId="0" borderId="43" xfId="0" applyNumberFormat="1" applyFont="1" applyBorder="1" applyAlignment="1">
      <alignment horizontal="center" vertical="center" shrinkToFit="1"/>
    </xf>
    <xf numFmtId="20" fontId="3" fillId="0" borderId="46" xfId="0" applyNumberFormat="1" applyFont="1" applyBorder="1" applyAlignment="1" applyProtection="1">
      <alignment vertical="center" shrinkToFit="1"/>
      <protection locked="0"/>
    </xf>
    <xf numFmtId="186" fontId="3" fillId="0" borderId="4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 applyProtection="1">
      <alignment vertical="center"/>
      <protection locked="0"/>
    </xf>
    <xf numFmtId="0" fontId="2" fillId="0" borderId="54" xfId="0" applyFont="1" applyBorder="1" applyAlignment="1">
      <alignment horizontal="centerContinuous" vertical="center"/>
    </xf>
    <xf numFmtId="0" fontId="7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horizontal="right" vertical="center"/>
    </xf>
    <xf numFmtId="0" fontId="2" fillId="24" borderId="33" xfId="0" applyFont="1" applyFill="1" applyBorder="1" applyAlignment="1" applyProtection="1">
      <alignment horizontal="centerContinuous" vertical="center"/>
      <protection locked="0"/>
    </xf>
    <xf numFmtId="0" fontId="2" fillId="24" borderId="34" xfId="0" applyFont="1" applyFill="1" applyBorder="1" applyAlignment="1" applyProtection="1">
      <alignment horizontal="centerContinuous" vertical="center"/>
      <protection locked="0"/>
    </xf>
    <xf numFmtId="0" fontId="2" fillId="21" borderId="57" xfId="0" applyFont="1" applyFill="1" applyBorder="1" applyAlignment="1" applyProtection="1">
      <alignment horizontal="center" vertical="center"/>
      <protection/>
    </xf>
    <xf numFmtId="0" fontId="2" fillId="21" borderId="53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vertical="center"/>
    </xf>
    <xf numFmtId="182" fontId="16" fillId="0" borderId="17" xfId="0" applyNumberFormat="1" applyFont="1" applyBorder="1" applyAlignment="1" applyProtection="1">
      <alignment vertical="center"/>
      <protection locked="0"/>
    </xf>
    <xf numFmtId="3" fontId="16" fillId="0" borderId="30" xfId="0" applyNumberFormat="1" applyFont="1" applyBorder="1" applyAlignment="1" applyProtection="1">
      <alignment vertical="center"/>
      <protection locked="0"/>
    </xf>
    <xf numFmtId="0" fontId="16" fillId="0" borderId="0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82" fontId="2" fillId="0" borderId="32" xfId="0" applyNumberFormat="1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2" fillId="0" borderId="34" xfId="0" applyFont="1" applyBorder="1" applyAlignment="1" applyProtection="1">
      <alignment vertical="center"/>
      <protection/>
    </xf>
    <xf numFmtId="56" fontId="2" fillId="0" borderId="43" xfId="0" applyNumberFormat="1" applyFont="1" applyBorder="1" applyAlignment="1" applyProtection="1">
      <alignment horizontal="center" vertical="center"/>
      <protection/>
    </xf>
    <xf numFmtId="179" fontId="3" fillId="0" borderId="27" xfId="0" applyNumberFormat="1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3" fillId="0" borderId="33" xfId="0" applyNumberFormat="1" applyFont="1" applyBorder="1" applyAlignment="1" applyProtection="1">
      <alignment vertical="center"/>
      <protection/>
    </xf>
    <xf numFmtId="0" fontId="6" fillId="0" borderId="38" xfId="0" applyNumberFormat="1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horizontal="centerContinuous" vertical="center"/>
      <protection/>
    </xf>
    <xf numFmtId="0" fontId="2" fillId="0" borderId="35" xfId="0" applyFont="1" applyBorder="1" applyAlignment="1" applyProtection="1">
      <alignment vertical="center"/>
      <protection/>
    </xf>
    <xf numFmtId="190" fontId="2" fillId="0" borderId="39" xfId="0" applyNumberFormat="1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Continuous" vertical="center"/>
    </xf>
    <xf numFmtId="0" fontId="2" fillId="0" borderId="5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Continuous" vertical="center"/>
    </xf>
    <xf numFmtId="9" fontId="2" fillId="0" borderId="56" xfId="0" applyNumberFormat="1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13" fillId="0" borderId="0" xfId="0" applyFont="1" applyAlignment="1" applyProtection="1">
      <alignment horizontal="centerContinuous" vertical="center"/>
      <protection/>
    </xf>
    <xf numFmtId="178" fontId="13" fillId="0" borderId="0" xfId="0" applyNumberFormat="1" applyFont="1" applyAlignment="1" applyProtection="1">
      <alignment horizontal="centerContinuous" vertical="center"/>
      <protection/>
    </xf>
    <xf numFmtId="0" fontId="6" fillId="0" borderId="46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/>
    </xf>
    <xf numFmtId="182" fontId="16" fillId="0" borderId="68" xfId="0" applyNumberFormat="1" applyFont="1" applyBorder="1" applyAlignment="1" applyProtection="1">
      <alignment vertical="center"/>
      <protection locked="0"/>
    </xf>
    <xf numFmtId="182" fontId="16" fillId="0" borderId="0" xfId="0" applyNumberFormat="1" applyFont="1" applyBorder="1" applyAlignment="1" applyProtection="1">
      <alignment vertical="center"/>
      <protection/>
    </xf>
    <xf numFmtId="3" fontId="16" fillId="0" borderId="0" xfId="0" applyNumberFormat="1" applyFont="1" applyBorder="1" applyAlignment="1" applyProtection="1">
      <alignment vertical="center"/>
      <protection/>
    </xf>
    <xf numFmtId="9" fontId="16" fillId="0" borderId="0" xfId="0" applyNumberFormat="1" applyFont="1" applyBorder="1" applyAlignment="1" applyProtection="1">
      <alignment vertical="center"/>
      <protection/>
    </xf>
    <xf numFmtId="191" fontId="16" fillId="0" borderId="0" xfId="0" applyNumberFormat="1" applyFont="1" applyBorder="1" applyAlignment="1" applyProtection="1">
      <alignment horizontal="right" vertical="center"/>
      <protection locked="0"/>
    </xf>
    <xf numFmtId="183" fontId="16" fillId="0" borderId="0" xfId="0" applyNumberFormat="1" applyFont="1" applyBorder="1" applyAlignment="1" applyProtection="1">
      <alignment horizontal="right" vertical="center"/>
      <protection locked="0"/>
    </xf>
    <xf numFmtId="0" fontId="2" fillId="21" borderId="75" xfId="0" applyFont="1" applyFill="1" applyBorder="1" applyAlignment="1">
      <alignment horizontal="center" vertical="center"/>
    </xf>
    <xf numFmtId="0" fontId="16" fillId="21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182" fontId="2" fillId="0" borderId="76" xfId="0" applyNumberFormat="1" applyFont="1" applyBorder="1" applyAlignment="1" applyProtection="1">
      <alignment vertical="center"/>
      <protection locked="0"/>
    </xf>
    <xf numFmtId="4" fontId="2" fillId="0" borderId="77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Continuous" vertical="center"/>
    </xf>
    <xf numFmtId="9" fontId="2" fillId="24" borderId="56" xfId="0" applyNumberFormat="1" applyFont="1" applyFill="1" applyBorder="1" applyAlignment="1" applyProtection="1">
      <alignment horizontal="centerContinuous" vertical="center"/>
      <protection/>
    </xf>
    <xf numFmtId="9" fontId="2" fillId="24" borderId="58" xfId="0" applyNumberFormat="1" applyFont="1" applyFill="1" applyBorder="1" applyAlignment="1" applyProtection="1">
      <alignment horizontal="center" vertical="center"/>
      <protection/>
    </xf>
    <xf numFmtId="38" fontId="2" fillId="0" borderId="32" xfId="0" applyNumberFormat="1" applyFont="1" applyBorder="1" applyAlignment="1" applyProtection="1">
      <alignment vertical="center"/>
      <protection locked="0"/>
    </xf>
    <xf numFmtId="9" fontId="17" fillId="0" borderId="78" xfId="0" applyNumberFormat="1" applyFont="1" applyFill="1" applyBorder="1" applyAlignment="1">
      <alignment vertical="center"/>
    </xf>
    <xf numFmtId="182" fontId="2" fillId="0" borderId="79" xfId="0" applyNumberFormat="1" applyFont="1" applyBorder="1" applyAlignment="1" applyProtection="1">
      <alignment vertical="center"/>
      <protection locked="0"/>
    </xf>
    <xf numFmtId="4" fontId="2" fillId="0" borderId="59" xfId="0" applyNumberFormat="1" applyFont="1" applyBorder="1" applyAlignment="1" applyProtection="1">
      <alignment vertical="center"/>
      <protection locked="0"/>
    </xf>
    <xf numFmtId="182" fontId="16" fillId="0" borderId="45" xfId="0" applyNumberFormat="1" applyFont="1" applyBorder="1" applyAlignment="1" applyProtection="1">
      <alignment vertical="center"/>
      <protection locked="0"/>
    </xf>
    <xf numFmtId="4" fontId="16" fillId="0" borderId="25" xfId="0" applyNumberFormat="1" applyFont="1" applyBorder="1" applyAlignment="1" applyProtection="1">
      <alignment vertical="center"/>
      <protection locked="0"/>
    </xf>
    <xf numFmtId="1" fontId="2" fillId="0" borderId="80" xfId="0" applyNumberFormat="1" applyFont="1" applyBorder="1" applyAlignment="1" applyProtection="1">
      <alignment vertical="center"/>
      <protection locked="0"/>
    </xf>
    <xf numFmtId="1" fontId="16" fillId="0" borderId="53" xfId="0" applyNumberFormat="1" applyFont="1" applyBorder="1" applyAlignment="1" applyProtection="1">
      <alignment vertical="center"/>
      <protection locked="0"/>
    </xf>
    <xf numFmtId="1" fontId="16" fillId="0" borderId="68" xfId="0" applyNumberFormat="1" applyFont="1" applyBorder="1" applyAlignment="1" applyProtection="1">
      <alignment vertical="center"/>
      <protection locked="0"/>
    </xf>
    <xf numFmtId="3" fontId="16" fillId="0" borderId="68" xfId="0" applyNumberFormat="1" applyFont="1" applyBorder="1" applyAlignment="1" applyProtection="1">
      <alignment vertical="center"/>
      <protection locked="0"/>
    </xf>
    <xf numFmtId="38" fontId="16" fillId="0" borderId="17" xfId="0" applyNumberFormat="1" applyFont="1" applyBorder="1" applyAlignment="1" applyProtection="1">
      <alignment vertical="center"/>
      <protection locked="0"/>
    </xf>
    <xf numFmtId="0" fontId="12" fillId="0" borderId="81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82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/>
      <protection/>
    </xf>
    <xf numFmtId="0" fontId="2" fillId="0" borderId="5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2" fillId="4" borderId="40" xfId="0" applyFont="1" applyFill="1" applyBorder="1" applyAlignment="1" applyProtection="1">
      <alignment horizontal="centerContinuous" vertical="center"/>
      <protection/>
    </xf>
    <xf numFmtId="0" fontId="2" fillId="4" borderId="27" xfId="0" applyFont="1" applyFill="1" applyBorder="1" applyAlignment="1" applyProtection="1">
      <alignment horizontal="centerContinuous" vertical="center"/>
      <protection/>
    </xf>
    <xf numFmtId="0" fontId="2" fillId="4" borderId="44" xfId="0" applyFont="1" applyFill="1" applyBorder="1" applyAlignment="1" applyProtection="1">
      <alignment horizontal="centerContinuous" vertical="center"/>
      <protection/>
    </xf>
    <xf numFmtId="0" fontId="2" fillId="4" borderId="13" xfId="0" applyFont="1" applyFill="1" applyBorder="1" applyAlignment="1" applyProtection="1">
      <alignment horizontal="center" vertical="center"/>
      <protection/>
    </xf>
    <xf numFmtId="0" fontId="2" fillId="4" borderId="53" xfId="0" applyFont="1" applyFill="1" applyBorder="1" applyAlignment="1" applyProtection="1">
      <alignment horizontal="center" vertical="center"/>
      <protection/>
    </xf>
    <xf numFmtId="194" fontId="2" fillId="4" borderId="58" xfId="0" applyNumberFormat="1" applyFont="1" applyFill="1" applyBorder="1" applyAlignment="1" applyProtection="1">
      <alignment vertical="center"/>
      <protection/>
    </xf>
    <xf numFmtId="0" fontId="2" fillId="4" borderId="83" xfId="0" applyFont="1" applyFill="1" applyBorder="1" applyAlignment="1" applyProtection="1">
      <alignment horizontal="center" vertical="center"/>
      <protection/>
    </xf>
    <xf numFmtId="0" fontId="2" fillId="4" borderId="83" xfId="0" applyFont="1" applyFill="1" applyBorder="1" applyAlignment="1" applyProtection="1">
      <alignment horizontal="center" vertical="center" shrinkToFit="1"/>
      <protection/>
    </xf>
    <xf numFmtId="9" fontId="2" fillId="0" borderId="60" xfId="0" applyNumberFormat="1" applyFont="1" applyBorder="1" applyAlignment="1" applyProtection="1">
      <alignment vertical="center"/>
      <protection locked="0"/>
    </xf>
    <xf numFmtId="0" fontId="2" fillId="21" borderId="0" xfId="0" applyFont="1" applyFill="1" applyAlignment="1" applyProtection="1">
      <alignment horizontal="center" vertical="center"/>
      <protection/>
    </xf>
    <xf numFmtId="0" fontId="2" fillId="21" borderId="0" xfId="0" applyFont="1" applyFill="1" applyBorder="1" applyAlignment="1" applyProtection="1">
      <alignment horizontal="center" vertical="center"/>
      <protection locked="0"/>
    </xf>
    <xf numFmtId="183" fontId="2" fillId="21" borderId="58" xfId="0" applyNumberFormat="1" applyFont="1" applyFill="1" applyBorder="1" applyAlignment="1">
      <alignment vertical="center"/>
    </xf>
    <xf numFmtId="0" fontId="2" fillId="21" borderId="57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53" xfId="0" applyFont="1" applyFill="1" applyBorder="1" applyAlignment="1">
      <alignment horizontal="center" vertical="center"/>
    </xf>
    <xf numFmtId="56" fontId="2" fillId="21" borderId="80" xfId="0" applyNumberFormat="1" applyFont="1" applyFill="1" applyBorder="1" applyAlignment="1" applyProtection="1">
      <alignment horizontal="center" vertical="center" wrapText="1"/>
      <protection/>
    </xf>
    <xf numFmtId="49" fontId="2" fillId="21" borderId="78" xfId="0" applyNumberFormat="1" applyFont="1" applyFill="1" applyBorder="1" applyAlignment="1" applyProtection="1">
      <alignment horizontal="center" vertical="center"/>
      <protection/>
    </xf>
    <xf numFmtId="0" fontId="2" fillId="4" borderId="73" xfId="0" applyFont="1" applyFill="1" applyBorder="1" applyAlignment="1" applyProtection="1">
      <alignment horizontal="center" vertical="center"/>
      <protection/>
    </xf>
    <xf numFmtId="0" fontId="2" fillId="4" borderId="51" xfId="0" applyFont="1" applyFill="1" applyBorder="1" applyAlignment="1" applyProtection="1">
      <alignment horizontal="center" vertical="center"/>
      <protection/>
    </xf>
    <xf numFmtId="0" fontId="2" fillId="4" borderId="45" xfId="0" applyFont="1" applyFill="1" applyBorder="1" applyAlignment="1" applyProtection="1">
      <alignment horizontal="center" vertical="center"/>
      <protection/>
    </xf>
    <xf numFmtId="0" fontId="2" fillId="4" borderId="25" xfId="0" applyFont="1" applyFill="1" applyBorder="1" applyAlignment="1" applyProtection="1">
      <alignment horizontal="center" vertical="center"/>
      <protection/>
    </xf>
    <xf numFmtId="195" fontId="2" fillId="4" borderId="54" xfId="0" applyNumberFormat="1" applyFont="1" applyFill="1" applyBorder="1" applyAlignment="1" applyProtection="1">
      <alignment horizontal="center" vertical="center"/>
      <protection/>
    </xf>
    <xf numFmtId="195" fontId="2" fillId="4" borderId="60" xfId="0" applyNumberFormat="1" applyFont="1" applyFill="1" applyBorder="1" applyAlignment="1" applyProtection="1">
      <alignment horizontal="center" vertical="center"/>
      <protection/>
    </xf>
    <xf numFmtId="181" fontId="2" fillId="0" borderId="60" xfId="0" applyNumberFormat="1" applyFont="1" applyBorder="1" applyAlignment="1" applyProtection="1">
      <alignment horizontal="center" vertical="center" shrinkToFit="1"/>
      <protection locked="0"/>
    </xf>
    <xf numFmtId="4" fontId="16" fillId="0" borderId="30" xfId="0" applyNumberFormat="1" applyFont="1" applyBorder="1" applyAlignment="1" applyProtection="1">
      <alignment vertical="center"/>
      <protection locked="0"/>
    </xf>
    <xf numFmtId="4" fontId="16" fillId="0" borderId="17" xfId="0" applyNumberFormat="1" applyFont="1" applyBorder="1" applyAlignment="1" applyProtection="1">
      <alignment vertical="center"/>
      <protection locked="0"/>
    </xf>
    <xf numFmtId="181" fontId="16" fillId="0" borderId="52" xfId="0" applyNumberFormat="1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>
      <alignment vertical="center"/>
    </xf>
    <xf numFmtId="0" fontId="3" fillId="0" borderId="38" xfId="0" applyFont="1" applyBorder="1" applyAlignment="1">
      <alignment vertical="top"/>
    </xf>
    <xf numFmtId="0" fontId="3" fillId="0" borderId="38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14" fillId="0" borderId="39" xfId="0" applyFont="1" applyBorder="1" applyAlignment="1" applyProtection="1">
      <alignment horizontal="centerContinuous" vertical="top"/>
      <protection/>
    </xf>
    <xf numFmtId="0" fontId="14" fillId="0" borderId="29" xfId="0" applyFont="1" applyBorder="1" applyAlignment="1" applyProtection="1">
      <alignment horizontal="centerContinuous" vertical="center"/>
      <protection/>
    </xf>
    <xf numFmtId="38" fontId="2" fillId="0" borderId="15" xfId="0" applyNumberFormat="1" applyFont="1" applyBorder="1" applyAlignment="1" applyProtection="1">
      <alignment vertical="center"/>
      <protection locked="0"/>
    </xf>
    <xf numFmtId="9" fontId="2" fillId="24" borderId="80" xfId="0" applyNumberFormat="1" applyFont="1" applyFill="1" applyBorder="1" applyAlignment="1" applyProtection="1">
      <alignment horizontal="centerContinuous" vertical="center"/>
      <protection/>
    </xf>
    <xf numFmtId="9" fontId="2" fillId="24" borderId="8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199" fontId="2" fillId="21" borderId="13" xfId="0" applyNumberFormat="1" applyFont="1" applyFill="1" applyBorder="1" applyAlignment="1">
      <alignment horizontal="center" vertical="center"/>
    </xf>
    <xf numFmtId="38" fontId="2" fillId="21" borderId="83" xfId="0" applyNumberFormat="1" applyFont="1" applyFill="1" applyBorder="1" applyAlignment="1">
      <alignment vertical="center"/>
    </xf>
    <xf numFmtId="187" fontId="2" fillId="0" borderId="27" xfId="0" applyNumberFormat="1" applyFont="1" applyBorder="1" applyAlignment="1">
      <alignment horizontal="centerContinuous" vertical="center"/>
    </xf>
    <xf numFmtId="187" fontId="2" fillId="0" borderId="62" xfId="0" applyNumberFormat="1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Continuous" vertical="center"/>
    </xf>
    <xf numFmtId="0" fontId="2" fillId="0" borderId="20" xfId="0" applyFont="1" applyBorder="1" applyAlignment="1" applyProtection="1">
      <alignment vertical="center"/>
      <protection locked="0"/>
    </xf>
    <xf numFmtId="187" fontId="18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 applyProtection="1">
      <alignment vertical="top"/>
      <protection locked="0"/>
    </xf>
    <xf numFmtId="0" fontId="2" fillId="4" borderId="27" xfId="0" applyFont="1" applyFill="1" applyBorder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vertical="center"/>
      <protection locked="0"/>
    </xf>
    <xf numFmtId="9" fontId="16" fillId="0" borderId="52" xfId="0" applyNumberFormat="1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84" xfId="0" applyFont="1" applyBorder="1" applyAlignment="1">
      <alignment horizontal="centerContinuous" vertical="center"/>
    </xf>
    <xf numFmtId="0" fontId="2" fillId="0" borderId="85" xfId="0" applyFont="1" applyBorder="1" applyAlignment="1">
      <alignment horizontal="centerContinuous" vertical="center"/>
    </xf>
    <xf numFmtId="176" fontId="2" fillId="0" borderId="27" xfId="0" applyNumberFormat="1" applyFont="1" applyBorder="1" applyAlignment="1" applyProtection="1">
      <alignment vertical="center"/>
      <protection/>
    </xf>
    <xf numFmtId="0" fontId="5" fillId="0" borderId="7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38" fontId="2" fillId="0" borderId="60" xfId="0" applyNumberFormat="1" applyFont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177" fontId="2" fillId="0" borderId="60" xfId="0" applyNumberFormat="1" applyFont="1" applyBorder="1" applyAlignment="1" applyProtection="1">
      <alignment vertical="center"/>
      <protection locked="0"/>
    </xf>
    <xf numFmtId="177" fontId="2" fillId="0" borderId="54" xfId="0" applyNumberFormat="1" applyFont="1" applyBorder="1" applyAlignment="1" applyProtection="1">
      <alignment vertical="center"/>
      <protection locked="0"/>
    </xf>
    <xf numFmtId="0" fontId="2" fillId="0" borderId="80" xfId="0" applyFont="1" applyBorder="1" applyAlignment="1">
      <alignment horizontal="centerContinuous" vertical="center"/>
    </xf>
    <xf numFmtId="177" fontId="2" fillId="0" borderId="59" xfId="0" applyNumberFormat="1" applyFont="1" applyBorder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 locked="0"/>
    </xf>
    <xf numFmtId="38" fontId="16" fillId="0" borderId="17" xfId="0" applyNumberFormat="1" applyFont="1" applyBorder="1" applyAlignment="1">
      <alignment vertical="center"/>
    </xf>
    <xf numFmtId="38" fontId="16" fillId="0" borderId="52" xfId="0" applyNumberFormat="1" applyFont="1" applyBorder="1" applyAlignment="1" applyProtection="1">
      <alignment vertical="center"/>
      <protection locked="0"/>
    </xf>
    <xf numFmtId="0" fontId="5" fillId="0" borderId="81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vertical="center"/>
      <protection/>
    </xf>
    <xf numFmtId="3" fontId="2" fillId="0" borderId="32" xfId="0" applyNumberFormat="1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left" vertical="center" indent="1"/>
      <protection/>
    </xf>
    <xf numFmtId="40" fontId="2" fillId="0" borderId="56" xfId="0" applyNumberFormat="1" applyFont="1" applyBorder="1" applyAlignment="1" applyProtection="1">
      <alignment vertical="center"/>
      <protection locked="0"/>
    </xf>
    <xf numFmtId="40" fontId="2" fillId="0" borderId="32" xfId="0" applyNumberFormat="1" applyFont="1" applyBorder="1" applyAlignment="1" applyProtection="1">
      <alignment vertical="center"/>
      <protection locked="0"/>
    </xf>
    <xf numFmtId="40" fontId="2" fillId="0" borderId="60" xfId="0" applyNumberFormat="1" applyFont="1" applyBorder="1" applyAlignment="1" applyProtection="1">
      <alignment vertical="center"/>
      <protection locked="0"/>
    </xf>
    <xf numFmtId="0" fontId="5" fillId="0" borderId="53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Continuous" vertical="center" shrinkToFit="1"/>
    </xf>
    <xf numFmtId="0" fontId="2" fillId="0" borderId="4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8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7" fontId="16" fillId="0" borderId="17" xfId="0" applyNumberFormat="1" applyFont="1" applyBorder="1" applyAlignment="1" applyProtection="1">
      <alignment vertical="center"/>
      <protection locked="0"/>
    </xf>
    <xf numFmtId="197" fontId="2" fillId="0" borderId="36" xfId="0" applyNumberFormat="1" applyFont="1" applyBorder="1" applyAlignment="1" applyProtection="1">
      <alignment horizontal="centerContinuous" vertical="center"/>
      <protection locked="0"/>
    </xf>
    <xf numFmtId="201" fontId="19" fillId="24" borderId="81" xfId="0" applyNumberFormat="1" applyFont="1" applyFill="1" applyBorder="1" applyAlignment="1">
      <alignment vertical="center"/>
    </xf>
    <xf numFmtId="201" fontId="19" fillId="24" borderId="36" xfId="0" applyNumberFormat="1" applyFont="1" applyFill="1" applyBorder="1" applyAlignment="1">
      <alignment vertical="center"/>
    </xf>
    <xf numFmtId="3" fontId="19" fillId="24" borderId="55" xfId="0" applyNumberFormat="1" applyFont="1" applyFill="1" applyBorder="1" applyAlignment="1" applyProtection="1">
      <alignment vertical="center"/>
      <protection/>
    </xf>
    <xf numFmtId="3" fontId="19" fillId="24" borderId="42" xfId="0" applyNumberFormat="1" applyFont="1" applyFill="1" applyBorder="1" applyAlignment="1" applyProtection="1">
      <alignment vertical="center"/>
      <protection/>
    </xf>
    <xf numFmtId="3" fontId="19" fillId="24" borderId="81" xfId="0" applyNumberFormat="1" applyFont="1" applyFill="1" applyBorder="1" applyAlignment="1" applyProtection="1">
      <alignment vertical="center"/>
      <protection/>
    </xf>
    <xf numFmtId="9" fontId="19" fillId="24" borderId="56" xfId="0" applyNumberFormat="1" applyFont="1" applyFill="1" applyBorder="1" applyAlignment="1" applyProtection="1">
      <alignment vertical="center"/>
      <protection/>
    </xf>
    <xf numFmtId="9" fontId="19" fillId="24" borderId="58" xfId="0" applyNumberFormat="1" applyFont="1" applyFill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horizontal="centerContinuous" vertical="center"/>
      <protection/>
    </xf>
    <xf numFmtId="0" fontId="5" fillId="0" borderId="38" xfId="0" applyFont="1" applyBorder="1" applyAlignment="1" applyProtection="1">
      <alignment horizontal="centerContinuous" vertical="center"/>
      <protection/>
    </xf>
    <xf numFmtId="0" fontId="5" fillId="0" borderId="34" xfId="0" applyFont="1" applyBorder="1" applyAlignment="1" applyProtection="1">
      <alignment horizontal="centerContinuous" vertical="center"/>
      <protection/>
    </xf>
    <xf numFmtId="0" fontId="2" fillId="0" borderId="55" xfId="0" applyFont="1" applyBorder="1" applyAlignment="1" applyProtection="1">
      <alignment horizontal="centerContinuous" vertical="center"/>
      <protection/>
    </xf>
    <xf numFmtId="0" fontId="2" fillId="0" borderId="41" xfId="0" applyFont="1" applyBorder="1" applyAlignment="1" applyProtection="1">
      <alignment horizontal="centerContinuous" vertical="center"/>
      <protection/>
    </xf>
    <xf numFmtId="0" fontId="2" fillId="0" borderId="36" xfId="0" applyFont="1" applyBorder="1" applyAlignment="1" applyProtection="1">
      <alignment horizontal="centerContinuous" vertical="center"/>
      <protection/>
    </xf>
    <xf numFmtId="0" fontId="2" fillId="0" borderId="35" xfId="0" applyFont="1" applyBorder="1" applyAlignment="1" applyProtection="1">
      <alignment horizontal="centerContinuous" vertical="center" shrinkToFit="1"/>
      <protection/>
    </xf>
    <xf numFmtId="0" fontId="2" fillId="0" borderId="50" xfId="0" applyFont="1" applyBorder="1" applyAlignment="1" applyProtection="1">
      <alignment horizontal="centerContinuous" vertical="center" shrinkToFit="1"/>
      <protection/>
    </xf>
    <xf numFmtId="0" fontId="2" fillId="0" borderId="25" xfId="0" applyFont="1" applyBorder="1" applyAlignment="1" applyProtection="1">
      <alignment horizontal="centerContinuous" vertical="center" shrinkToFit="1"/>
      <protection/>
    </xf>
    <xf numFmtId="197" fontId="19" fillId="0" borderId="55" xfId="0" applyNumberFormat="1" applyFont="1" applyBorder="1" applyAlignment="1" applyProtection="1">
      <alignment horizontal="centerContinuous" vertical="center"/>
      <protection locked="0"/>
    </xf>
    <xf numFmtId="197" fontId="19" fillId="0" borderId="36" xfId="0" applyNumberFormat="1" applyFont="1" applyBorder="1" applyAlignment="1" applyProtection="1">
      <alignment horizontal="centerContinuous" vertical="center"/>
      <protection locked="0"/>
    </xf>
    <xf numFmtId="182" fontId="19" fillId="0" borderId="0" xfId="0" applyNumberFormat="1" applyFont="1" applyFill="1" applyBorder="1" applyAlignment="1" applyProtection="1">
      <alignment vertical="center"/>
      <protection locked="0"/>
    </xf>
    <xf numFmtId="0" fontId="2" fillId="0" borderId="56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3" fontId="19" fillId="0" borderId="54" xfId="0" applyNumberFormat="1" applyFont="1" applyBorder="1" applyAlignment="1" applyProtection="1">
      <alignment vertical="center"/>
      <protection locked="0"/>
    </xf>
    <xf numFmtId="38" fontId="19" fillId="0" borderId="32" xfId="0" applyNumberFormat="1" applyFont="1" applyBorder="1" applyAlignment="1" applyProtection="1">
      <alignment vertical="center"/>
      <protection locked="0"/>
    </xf>
    <xf numFmtId="3" fontId="19" fillId="0" borderId="15" xfId="0" applyNumberFormat="1" applyFont="1" applyBorder="1" applyAlignment="1" applyProtection="1">
      <alignment vertical="center"/>
      <protection locked="0"/>
    </xf>
    <xf numFmtId="193" fontId="2" fillId="0" borderId="37" xfId="0" applyNumberFormat="1" applyFont="1" applyBorder="1" applyAlignment="1" applyProtection="1">
      <alignment vertical="center"/>
      <protection locked="0"/>
    </xf>
    <xf numFmtId="193" fontId="2" fillId="0" borderId="15" xfId="0" applyNumberFormat="1" applyFont="1" applyBorder="1" applyAlignment="1" applyProtection="1">
      <alignment vertical="center"/>
      <protection locked="0"/>
    </xf>
    <xf numFmtId="177" fontId="19" fillId="0" borderId="54" xfId="0" applyNumberFormat="1" applyFont="1" applyBorder="1" applyAlignment="1" applyProtection="1">
      <alignment vertical="center"/>
      <protection locked="0"/>
    </xf>
    <xf numFmtId="177" fontId="19" fillId="0" borderId="60" xfId="0" applyNumberFormat="1" applyFont="1" applyBorder="1" applyAlignment="1" applyProtection="1">
      <alignment vertical="center"/>
      <protection locked="0"/>
    </xf>
    <xf numFmtId="193" fontId="19" fillId="0" borderId="37" xfId="0" applyNumberFormat="1" applyFont="1" applyBorder="1" applyAlignment="1" applyProtection="1">
      <alignment vertical="center"/>
      <protection locked="0"/>
    </xf>
    <xf numFmtId="177" fontId="19" fillId="0" borderId="60" xfId="0" applyNumberFormat="1" applyFont="1" applyBorder="1" applyAlignment="1" applyProtection="1">
      <alignment horizontal="center" vertical="center"/>
      <protection locked="0"/>
    </xf>
    <xf numFmtId="197" fontId="21" fillId="0" borderId="55" xfId="0" applyNumberFormat="1" applyFont="1" applyBorder="1" applyAlignment="1" applyProtection="1">
      <alignment horizontal="centerContinuous" vertical="center"/>
      <protection locked="0"/>
    </xf>
    <xf numFmtId="197" fontId="21" fillId="0" borderId="36" xfId="0" applyNumberFormat="1" applyFont="1" applyBorder="1" applyAlignment="1" applyProtection="1">
      <alignment horizontal="centerContinuous" vertical="center"/>
      <protection locked="0"/>
    </xf>
    <xf numFmtId="182" fontId="21" fillId="0" borderId="0" xfId="0" applyNumberFormat="1" applyFont="1" applyFill="1" applyBorder="1" applyAlignment="1" applyProtection="1">
      <alignment vertical="center"/>
      <protection locked="0"/>
    </xf>
    <xf numFmtId="3" fontId="20" fillId="0" borderId="54" xfId="0" applyNumberFormat="1" applyFont="1" applyBorder="1" applyAlignment="1" applyProtection="1">
      <alignment horizontal="centerContinuous" vertical="center"/>
      <protection locked="0"/>
    </xf>
    <xf numFmtId="38" fontId="19" fillId="0" borderId="32" xfId="0" applyNumberFormat="1" applyFont="1" applyBorder="1" applyAlignment="1" applyProtection="1">
      <alignment horizontal="centerContinuous" vertical="center"/>
      <protection locked="0"/>
    </xf>
    <xf numFmtId="3" fontId="19" fillId="0" borderId="15" xfId="0" applyNumberFormat="1" applyFont="1" applyBorder="1" applyAlignment="1" applyProtection="1">
      <alignment horizontal="centerContinuous" vertical="center"/>
      <protection locked="0"/>
    </xf>
    <xf numFmtId="193" fontId="16" fillId="0" borderId="52" xfId="0" applyNumberFormat="1" applyFont="1" applyBorder="1" applyAlignment="1" applyProtection="1">
      <alignment vertical="center"/>
      <protection locked="0"/>
    </xf>
    <xf numFmtId="40" fontId="16" fillId="0" borderId="17" xfId="0" applyNumberFormat="1" applyFont="1" applyBorder="1" applyAlignment="1">
      <alignment vertical="center"/>
    </xf>
    <xf numFmtId="40" fontId="16" fillId="0" borderId="52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/>
    </xf>
    <xf numFmtId="0" fontId="3" fillId="0" borderId="37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204" fontId="3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204" fontId="3" fillId="0" borderId="18" xfId="0" applyNumberFormat="1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vertical="center"/>
      <protection/>
    </xf>
    <xf numFmtId="0" fontId="2" fillId="4" borderId="0" xfId="0" applyFont="1" applyFill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 shrinkToFit="1"/>
      <protection/>
    </xf>
    <xf numFmtId="203" fontId="5" fillId="0" borderId="14" xfId="0" applyNumberFormat="1" applyFont="1" applyFill="1" applyBorder="1" applyAlignment="1" applyProtection="1">
      <alignment vertical="center"/>
      <protection/>
    </xf>
    <xf numFmtId="0" fontId="2" fillId="4" borderId="0" xfId="0" applyFont="1" applyFill="1" applyAlignment="1" applyProtection="1">
      <alignment vertical="center"/>
      <protection/>
    </xf>
    <xf numFmtId="203" fontId="3" fillId="0" borderId="18" xfId="0" applyNumberFormat="1" applyFont="1" applyBorder="1" applyAlignment="1" applyProtection="1">
      <alignment vertical="center" shrinkToFit="1"/>
      <protection/>
    </xf>
    <xf numFmtId="49" fontId="3" fillId="0" borderId="28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vertical="center"/>
      <protection/>
    </xf>
    <xf numFmtId="0" fontId="2" fillId="24" borderId="0" xfId="0" applyFont="1" applyFill="1" applyAlignment="1">
      <alignment vertical="center"/>
    </xf>
    <xf numFmtId="40" fontId="2" fillId="0" borderId="37" xfId="0" applyNumberFormat="1" applyFont="1" applyBorder="1" applyAlignment="1" applyProtection="1">
      <alignment vertical="center"/>
      <protection locked="0"/>
    </xf>
    <xf numFmtId="3" fontId="16" fillId="0" borderId="17" xfId="0" applyNumberFormat="1" applyFont="1" applyBorder="1" applyAlignment="1" applyProtection="1">
      <alignment vertical="center"/>
      <protection locked="0"/>
    </xf>
    <xf numFmtId="40" fontId="16" fillId="0" borderId="52" xfId="0" applyNumberFormat="1" applyFont="1" applyBorder="1" applyAlignment="1" applyProtection="1">
      <alignment vertical="center"/>
      <protection locked="0"/>
    </xf>
    <xf numFmtId="0" fontId="3" fillId="0" borderId="86" xfId="0" applyFont="1" applyBorder="1" applyAlignment="1">
      <alignment vertical="center"/>
    </xf>
    <xf numFmtId="0" fontId="23" fillId="0" borderId="27" xfId="0" applyFont="1" applyBorder="1" applyAlignment="1">
      <alignment horizontal="right" vertical="top"/>
    </xf>
    <xf numFmtId="0" fontId="23" fillId="0" borderId="38" xfId="0" applyFont="1" applyBorder="1" applyAlignment="1">
      <alignment horizontal="right" vertical="top"/>
    </xf>
    <xf numFmtId="4" fontId="16" fillId="0" borderId="68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97" fontId="2" fillId="0" borderId="32" xfId="0" applyNumberFormat="1" applyFont="1" applyBorder="1" applyAlignment="1">
      <alignment vertical="center" shrinkToFit="1"/>
    </xf>
    <xf numFmtId="49" fontId="2" fillId="0" borderId="38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39" xfId="0" applyNumberFormat="1" applyFont="1" applyBorder="1" applyAlignment="1" applyProtection="1">
      <alignment vertical="center"/>
      <protection locked="0"/>
    </xf>
    <xf numFmtId="0" fontId="2" fillId="2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3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77" fontId="19" fillId="0" borderId="60" xfId="0" applyNumberFormat="1" applyFont="1" applyBorder="1" applyAlignment="1" applyProtection="1">
      <alignment horizontal="center" vertical="center" shrinkToFit="1"/>
      <protection locked="0"/>
    </xf>
    <xf numFmtId="0" fontId="27" fillId="0" borderId="69" xfId="0" applyFont="1" applyBorder="1" applyAlignment="1">
      <alignment horizontal="centerContinuous" vertical="center"/>
    </xf>
    <xf numFmtId="0" fontId="27" fillId="0" borderId="67" xfId="0" applyFont="1" applyBorder="1" applyAlignment="1">
      <alignment horizontal="centerContinuous" vertical="center"/>
    </xf>
    <xf numFmtId="0" fontId="27" fillId="0" borderId="68" xfId="0" applyFont="1" applyBorder="1" applyAlignment="1">
      <alignment horizontal="centerContinuous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 applyProtection="1">
      <alignment vertical="center"/>
      <protection/>
    </xf>
    <xf numFmtId="0" fontId="3" fillId="0" borderId="70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/>
    </xf>
    <xf numFmtId="0" fontId="3" fillId="0" borderId="81" xfId="0" applyFont="1" applyBorder="1" applyAlignment="1" applyProtection="1">
      <alignment horizontal="center" vertical="center"/>
      <protection/>
    </xf>
    <xf numFmtId="49" fontId="3" fillId="0" borderId="28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20" xfId="0" applyNumberFormat="1" applyFont="1" applyBorder="1" applyAlignment="1" applyProtection="1">
      <alignment vertical="center"/>
      <protection/>
    </xf>
    <xf numFmtId="0" fontId="2" fillId="0" borderId="72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18" fillId="0" borderId="64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204" fontId="3" fillId="21" borderId="18" xfId="0" applyNumberFormat="1" applyFont="1" applyFill="1" applyBorder="1" applyAlignment="1" applyProtection="1">
      <alignment horizontal="center" vertical="center"/>
      <protection/>
    </xf>
    <xf numFmtId="0" fontId="2" fillId="21" borderId="18" xfId="0" applyFont="1" applyFill="1" applyBorder="1" applyAlignment="1" applyProtection="1">
      <alignment horizontal="center" vertical="center"/>
      <protection locked="0"/>
    </xf>
    <xf numFmtId="184" fontId="2" fillId="0" borderId="15" xfId="0" applyNumberFormat="1" applyFont="1" applyBorder="1" applyAlignment="1" applyProtection="1">
      <alignment vertical="center"/>
      <protection locked="0"/>
    </xf>
    <xf numFmtId="0" fontId="12" fillId="25" borderId="49" xfId="0" applyFont="1" applyFill="1" applyBorder="1" applyAlignment="1" applyProtection="1">
      <alignment horizontal="centerContinuous" vertical="center"/>
      <protection/>
    </xf>
    <xf numFmtId="0" fontId="12" fillId="25" borderId="38" xfId="0" applyFont="1" applyFill="1" applyBorder="1" applyAlignment="1" applyProtection="1">
      <alignment horizontal="centerContinuous" vertical="center"/>
      <protection/>
    </xf>
    <xf numFmtId="0" fontId="12" fillId="25" borderId="34" xfId="0" applyFont="1" applyFill="1" applyBorder="1" applyAlignment="1" applyProtection="1">
      <alignment horizontal="centerContinuous" vertical="center"/>
      <protection/>
    </xf>
    <xf numFmtId="0" fontId="12" fillId="25" borderId="81" xfId="0" applyFont="1" applyFill="1" applyBorder="1" applyAlignment="1" applyProtection="1">
      <alignment horizontal="centerContinuous" vertical="center"/>
      <protection/>
    </xf>
    <xf numFmtId="0" fontId="12" fillId="25" borderId="41" xfId="0" applyFont="1" applyFill="1" applyBorder="1" applyAlignment="1" applyProtection="1">
      <alignment horizontal="centerContinuous" vertical="center"/>
      <protection/>
    </xf>
    <xf numFmtId="0" fontId="12" fillId="25" borderId="36" xfId="0" applyFont="1" applyFill="1" applyBorder="1" applyAlignment="1" applyProtection="1">
      <alignment horizontal="centerContinuous" vertical="center"/>
      <protection/>
    </xf>
    <xf numFmtId="0" fontId="24" fillId="25" borderId="32" xfId="0" applyFont="1" applyFill="1" applyBorder="1" applyAlignment="1" applyProtection="1">
      <alignment horizontal="center" vertical="center"/>
      <protection/>
    </xf>
    <xf numFmtId="0" fontId="24" fillId="25" borderId="60" xfId="0" applyFont="1" applyFill="1" applyBorder="1" applyAlignment="1" applyProtection="1">
      <alignment horizontal="center" vertical="center"/>
      <protection/>
    </xf>
    <xf numFmtId="197" fontId="19" fillId="25" borderId="32" xfId="0" applyNumberFormat="1" applyFont="1" applyFill="1" applyBorder="1" applyAlignment="1" applyProtection="1">
      <alignment horizontal="center" vertical="center" shrinkToFit="1"/>
      <protection/>
    </xf>
    <xf numFmtId="197" fontId="19" fillId="25" borderId="60" xfId="0" applyNumberFormat="1" applyFont="1" applyFill="1" applyBorder="1" applyAlignment="1" applyProtection="1">
      <alignment horizontal="center" vertical="center" shrinkToFit="1"/>
      <protection/>
    </xf>
    <xf numFmtId="207" fontId="2" fillId="25" borderId="32" xfId="0" applyNumberFormat="1" applyFont="1" applyFill="1" applyBorder="1" applyAlignment="1" applyProtection="1">
      <alignment horizontal="center" vertical="center" shrinkToFit="1"/>
      <protection/>
    </xf>
    <xf numFmtId="0" fontId="3" fillId="21" borderId="18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/>
    </xf>
    <xf numFmtId="0" fontId="5" fillId="0" borderId="82" xfId="0" applyFont="1" applyBorder="1" applyAlignment="1" applyProtection="1">
      <alignment vertical="center"/>
      <protection/>
    </xf>
    <xf numFmtId="0" fontId="5" fillId="0" borderId="67" xfId="0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3" fillId="0" borderId="3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187" fontId="25" fillId="0" borderId="67" xfId="0" applyNumberFormat="1" applyFont="1" applyBorder="1" applyAlignment="1">
      <alignment horizontal="left" vertical="center"/>
    </xf>
    <xf numFmtId="187" fontId="25" fillId="0" borderId="68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88" fontId="25" fillId="0" borderId="26" xfId="0" applyNumberFormat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64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0" fontId="5" fillId="0" borderId="76" xfId="0" applyFont="1" applyBorder="1" applyAlignment="1" applyProtection="1">
      <alignment horizontal="center" vertical="center" shrinkToFit="1"/>
      <protection/>
    </xf>
    <xf numFmtId="0" fontId="5" fillId="0" borderId="56" xfId="0" applyFont="1" applyBorder="1" applyAlignment="1" applyProtection="1">
      <alignment vertical="center"/>
      <protection/>
    </xf>
    <xf numFmtId="0" fontId="5" fillId="0" borderId="69" xfId="0" applyFont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vertical="center"/>
      <protection locked="0"/>
    </xf>
    <xf numFmtId="0" fontId="5" fillId="0" borderId="68" xfId="0" applyFont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horizontal="right" vertical="center"/>
      <protection/>
    </xf>
    <xf numFmtId="0" fontId="5" fillId="0" borderId="81" xfId="0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203" fontId="5" fillId="0" borderId="60" xfId="0" applyNumberFormat="1" applyFont="1" applyFill="1" applyBorder="1" applyAlignment="1" applyProtection="1">
      <alignment vertical="center"/>
      <protection/>
    </xf>
    <xf numFmtId="0" fontId="3" fillId="0" borderId="55" xfId="0" applyFont="1" applyBorder="1" applyAlignment="1" applyProtection="1">
      <alignment horizontal="center" vertical="center" shrinkToFit="1"/>
      <protection/>
    </xf>
    <xf numFmtId="0" fontId="3" fillId="0" borderId="56" xfId="0" applyFont="1" applyBorder="1" applyAlignment="1" applyProtection="1">
      <alignment horizontal="center" vertical="center"/>
      <protection/>
    </xf>
    <xf numFmtId="4" fontId="5" fillId="0" borderId="81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4" fontId="5" fillId="0" borderId="72" xfId="0" applyNumberFormat="1" applyFont="1" applyFill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horizontal="centerContinuous" vertical="center"/>
      <protection/>
    </xf>
    <xf numFmtId="0" fontId="19" fillId="0" borderId="38" xfId="0" applyFont="1" applyBorder="1" applyAlignment="1" applyProtection="1">
      <alignment horizontal="right" vertical="center"/>
      <protection/>
    </xf>
    <xf numFmtId="0" fontId="19" fillId="0" borderId="39" xfId="0" applyFont="1" applyBorder="1" applyAlignment="1">
      <alignment horizontal="right" vertical="center"/>
    </xf>
    <xf numFmtId="20" fontId="3" fillId="0" borderId="44" xfId="0" applyNumberFormat="1" applyFont="1" applyBorder="1" applyAlignment="1" applyProtection="1">
      <alignment vertical="center" shrinkToFit="1"/>
      <protection locked="0"/>
    </xf>
    <xf numFmtId="0" fontId="18" fillId="0" borderId="14" xfId="0" applyFont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19" fillId="0" borderId="18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23" fillId="0" borderId="38" xfId="0" applyFont="1" applyBorder="1" applyAlignment="1">
      <alignment horizontal="center" vertical="top"/>
    </xf>
    <xf numFmtId="178" fontId="2" fillId="0" borderId="0" xfId="0" applyNumberFormat="1" applyFont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vertical="center"/>
      <protection/>
    </xf>
    <xf numFmtId="178" fontId="6" fillId="0" borderId="27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177" fontId="2" fillId="0" borderId="53" xfId="0" applyNumberFormat="1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Continuous" vertical="center"/>
      <protection/>
    </xf>
    <xf numFmtId="0" fontId="3" fillId="0" borderId="52" xfId="0" applyFont="1" applyBorder="1" applyAlignment="1" applyProtection="1">
      <alignment horizontal="centerContinuous" vertical="center"/>
      <protection/>
    </xf>
    <xf numFmtId="185" fontId="2" fillId="0" borderId="83" xfId="0" applyNumberFormat="1" applyFont="1" applyBorder="1" applyAlignment="1" applyProtection="1">
      <alignment horizontal="center" vertical="center"/>
      <protection/>
    </xf>
    <xf numFmtId="180" fontId="2" fillId="0" borderId="83" xfId="0" applyNumberFormat="1" applyFont="1" applyBorder="1" applyAlignment="1" applyProtection="1">
      <alignment vertical="center"/>
      <protection/>
    </xf>
    <xf numFmtId="176" fontId="2" fillId="0" borderId="83" xfId="0" applyNumberFormat="1" applyFont="1" applyBorder="1" applyAlignment="1" applyProtection="1">
      <alignment vertical="center"/>
      <protection/>
    </xf>
    <xf numFmtId="0" fontId="2" fillId="0" borderId="83" xfId="0" applyFont="1" applyBorder="1" applyAlignment="1" applyProtection="1">
      <alignment horizontal="center" vertical="center"/>
      <protection/>
    </xf>
    <xf numFmtId="177" fontId="2" fillId="0" borderId="83" xfId="0" applyNumberFormat="1" applyFont="1" applyBorder="1" applyAlignment="1" applyProtection="1">
      <alignment vertical="center"/>
      <protection/>
    </xf>
    <xf numFmtId="177" fontId="2" fillId="0" borderId="14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 indent="1"/>
      <protection/>
    </xf>
    <xf numFmtId="2" fontId="48" fillId="0" borderId="0" xfId="0" applyNumberFormat="1" applyFont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0" fontId="19" fillId="21" borderId="31" xfId="0" applyFont="1" applyFill="1" applyBorder="1" applyAlignment="1" applyProtection="1">
      <alignment horizontal="center" vertical="center"/>
      <protection/>
    </xf>
    <xf numFmtId="0" fontId="19" fillId="21" borderId="88" xfId="0" applyFont="1" applyFill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21" borderId="0" xfId="0" applyFont="1" applyFill="1" applyAlignment="1" applyProtection="1">
      <alignment horizontal="centerContinuous" vertical="center"/>
      <protection/>
    </xf>
    <xf numFmtId="177" fontId="2" fillId="4" borderId="54" xfId="0" applyNumberFormat="1" applyFont="1" applyFill="1" applyBorder="1" applyAlignment="1" applyProtection="1">
      <alignment vertical="center"/>
      <protection/>
    </xf>
    <xf numFmtId="177" fontId="2" fillId="4" borderId="60" xfId="0" applyNumberFormat="1" applyFont="1" applyFill="1" applyBorder="1" applyAlignment="1" applyProtection="1">
      <alignment vertical="center"/>
      <protection/>
    </xf>
    <xf numFmtId="2" fontId="48" fillId="4" borderId="30" xfId="0" applyNumberFormat="1" applyFont="1" applyFill="1" applyBorder="1" applyAlignment="1" applyProtection="1">
      <alignment horizontal="center" vertical="center"/>
      <protection/>
    </xf>
    <xf numFmtId="2" fontId="48" fillId="4" borderId="52" xfId="0" applyNumberFormat="1" applyFont="1" applyFill="1" applyBorder="1" applyAlignment="1" applyProtection="1">
      <alignment horizontal="center" vertical="center"/>
      <protection/>
    </xf>
    <xf numFmtId="0" fontId="62" fillId="0" borderId="0" xfId="0" applyFont="1" applyBorder="1" applyAlignment="1">
      <alignment vertical="center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89" xfId="0" applyFont="1" applyBorder="1" applyAlignment="1" applyProtection="1">
      <alignment horizontal="centerContinuous" vertical="center"/>
      <protection/>
    </xf>
    <xf numFmtId="0" fontId="3" fillId="0" borderId="90" xfId="0" applyFont="1" applyBorder="1" applyAlignment="1" applyProtection="1">
      <alignment horizontal="centerContinuous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3" fillId="0" borderId="92" xfId="0" applyFont="1" applyBorder="1" applyAlignment="1" applyProtection="1">
      <alignment horizontal="centerContinuous" vertical="center"/>
      <protection/>
    </xf>
    <xf numFmtId="49" fontId="2" fillId="0" borderId="28" xfId="0" applyNumberFormat="1" applyFont="1" applyBorder="1" applyAlignment="1" applyProtection="1">
      <alignment horizontal="right" vertical="center"/>
      <protection locked="0"/>
    </xf>
    <xf numFmtId="0" fontId="63" fillId="0" borderId="14" xfId="0" applyFont="1" applyBorder="1" applyAlignment="1" applyProtection="1">
      <alignment vertical="center"/>
      <protection/>
    </xf>
    <xf numFmtId="0" fontId="18" fillId="0" borderId="38" xfId="0" applyFont="1" applyBorder="1" applyAlignment="1">
      <alignment horizontal="right" vertical="top"/>
    </xf>
    <xf numFmtId="0" fontId="25" fillId="0" borderId="38" xfId="0" applyFont="1" applyBorder="1" applyAlignment="1">
      <alignment horizontal="right" vertical="top"/>
    </xf>
    <xf numFmtId="0" fontId="2" fillId="8" borderId="0" xfId="0" applyFont="1" applyFill="1" applyAlignment="1" applyProtection="1">
      <alignment vertical="center"/>
      <protection/>
    </xf>
    <xf numFmtId="0" fontId="2" fillId="8" borderId="75" xfId="0" applyFont="1" applyFill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vertical="center"/>
      <protection/>
    </xf>
    <xf numFmtId="0" fontId="25" fillId="0" borderId="87" xfId="0" applyFont="1" applyBorder="1" applyAlignment="1">
      <alignment horizontal="right" vertical="center"/>
    </xf>
    <xf numFmtId="0" fontId="2" fillId="0" borderId="50" xfId="0" applyNumberFormat="1" applyFont="1" applyBorder="1" applyAlignment="1" applyProtection="1">
      <alignment vertical="center"/>
      <protection locked="0"/>
    </xf>
    <xf numFmtId="180" fontId="2" fillId="0" borderId="55" xfId="0" applyNumberFormat="1" applyFont="1" applyBorder="1" applyAlignment="1" applyProtection="1">
      <alignment vertical="center"/>
      <protection locked="0"/>
    </xf>
    <xf numFmtId="180" fontId="2" fillId="0" borderId="42" xfId="0" applyNumberFormat="1" applyFont="1" applyBorder="1" applyAlignment="1" applyProtection="1">
      <alignment vertical="center"/>
      <protection locked="0"/>
    </xf>
    <xf numFmtId="3" fontId="2" fillId="0" borderId="55" xfId="0" applyNumberFormat="1" applyFont="1" applyBorder="1" applyAlignment="1" applyProtection="1">
      <alignment vertical="center"/>
      <protection/>
    </xf>
    <xf numFmtId="202" fontId="2" fillId="0" borderId="56" xfId="0" applyNumberFormat="1" applyFont="1" applyBorder="1" applyAlignment="1" applyProtection="1">
      <alignment horizontal="right" vertical="center"/>
      <protection locked="0"/>
    </xf>
    <xf numFmtId="202" fontId="2" fillId="0" borderId="15" xfId="0" applyNumberFormat="1" applyFont="1" applyBorder="1" applyAlignment="1" applyProtection="1">
      <alignment horizontal="right" vertical="center"/>
      <protection locked="0"/>
    </xf>
    <xf numFmtId="183" fontId="2" fillId="0" borderId="88" xfId="0" applyNumberFormat="1" applyFont="1" applyBorder="1" applyAlignment="1" applyProtection="1">
      <alignment horizontal="right" vertical="center"/>
      <protection locked="0"/>
    </xf>
    <xf numFmtId="183" fontId="2" fillId="0" borderId="77" xfId="0" applyNumberFormat="1" applyFont="1" applyBorder="1" applyAlignment="1" applyProtection="1">
      <alignment horizontal="right" vertical="center"/>
      <protection locked="0"/>
    </xf>
    <xf numFmtId="3" fontId="2" fillId="0" borderId="81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201" fontId="2" fillId="0" borderId="81" xfId="0" applyNumberFormat="1" applyFont="1" applyBorder="1" applyAlignment="1">
      <alignment vertical="center"/>
    </xf>
    <xf numFmtId="201" fontId="2" fillId="0" borderId="36" xfId="0" applyNumberFormat="1" applyFont="1" applyBorder="1" applyAlignment="1">
      <alignment vertical="center"/>
    </xf>
    <xf numFmtId="4" fontId="2" fillId="0" borderId="55" xfId="0" applyNumberFormat="1" applyFont="1" applyBorder="1" applyAlignment="1" applyProtection="1">
      <alignment vertical="center"/>
      <protection locked="0"/>
    </xf>
    <xf numFmtId="4" fontId="2" fillId="0" borderId="42" xfId="0" applyNumberFormat="1" applyFont="1" applyBorder="1" applyAlignment="1" applyProtection="1">
      <alignment vertical="center"/>
      <protection locked="0"/>
    </xf>
    <xf numFmtId="3" fontId="2" fillId="0" borderId="42" xfId="0" applyNumberFormat="1" applyFont="1" applyBorder="1" applyAlignment="1" applyProtection="1">
      <alignment vertical="center"/>
      <protection/>
    </xf>
    <xf numFmtId="3" fontId="2" fillId="0" borderId="81" xfId="0" applyNumberFormat="1" applyFont="1" applyBorder="1" applyAlignment="1" applyProtection="1">
      <alignment vertical="center"/>
      <protection/>
    </xf>
    <xf numFmtId="0" fontId="3" fillId="0" borderId="4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2" fillId="0" borderId="57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2" fillId="0" borderId="93" xfId="0" applyFont="1" applyBorder="1" applyAlignment="1" applyProtection="1">
      <alignment horizontal="center" vertical="center" textRotation="255"/>
      <protection/>
    </xf>
    <xf numFmtId="0" fontId="5" fillId="0" borderId="56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3" fontId="19" fillId="0" borderId="14" xfId="0" applyNumberFormat="1" applyFont="1" applyBorder="1" applyAlignment="1">
      <alignment vertical="center"/>
    </xf>
    <xf numFmtId="3" fontId="19" fillId="0" borderId="15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191" fontId="2" fillId="0" borderId="56" xfId="0" applyNumberFormat="1" applyFont="1" applyBorder="1" applyAlignment="1" applyProtection="1">
      <alignment horizontal="right" vertical="center"/>
      <protection locked="0"/>
    </xf>
    <xf numFmtId="191" fontId="2" fillId="0" borderId="15" xfId="0" applyNumberFormat="1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176" fontId="2" fillId="0" borderId="46" xfId="0" applyNumberFormat="1" applyFont="1" applyBorder="1" applyAlignment="1" applyProtection="1">
      <alignment vertical="center"/>
      <protection/>
    </xf>
    <xf numFmtId="176" fontId="2" fillId="0" borderId="27" xfId="0" applyNumberFormat="1" applyFont="1" applyBorder="1" applyAlignment="1" applyProtection="1">
      <alignment vertical="center"/>
      <protection/>
    </xf>
    <xf numFmtId="176" fontId="2" fillId="0" borderId="46" xfId="0" applyNumberFormat="1" applyFont="1" applyBorder="1" applyAlignment="1" applyProtection="1">
      <alignment horizontal="right" vertical="center"/>
      <protection/>
    </xf>
    <xf numFmtId="176" fontId="2" fillId="0" borderId="27" xfId="0" applyNumberFormat="1" applyFont="1" applyBorder="1" applyAlignment="1" applyProtection="1">
      <alignment horizontal="right" vertical="center"/>
      <protection/>
    </xf>
    <xf numFmtId="0" fontId="13" fillId="0" borderId="49" xfId="0" applyFont="1" applyBorder="1" applyAlignment="1" applyProtection="1">
      <alignment horizontal="left" vertical="center" indent="1"/>
      <protection/>
    </xf>
    <xf numFmtId="0" fontId="13" fillId="0" borderId="38" xfId="0" applyFont="1" applyBorder="1" applyAlignment="1" applyProtection="1">
      <alignment horizontal="left" vertical="center" indent="1"/>
      <protection/>
    </xf>
    <xf numFmtId="0" fontId="13" fillId="0" borderId="34" xfId="0" applyFont="1" applyBorder="1" applyAlignment="1" applyProtection="1">
      <alignment horizontal="left" vertical="center" indent="1"/>
      <protection/>
    </xf>
    <xf numFmtId="0" fontId="13" fillId="0" borderId="50" xfId="0" applyFont="1" applyBorder="1" applyAlignment="1" applyProtection="1">
      <alignment horizontal="left" vertical="center" indent="1"/>
      <protection/>
    </xf>
    <xf numFmtId="0" fontId="13" fillId="0" borderId="39" xfId="0" applyFont="1" applyBorder="1" applyAlignment="1" applyProtection="1">
      <alignment horizontal="left" vertical="center" indent="1"/>
      <protection/>
    </xf>
    <xf numFmtId="0" fontId="13" fillId="0" borderId="29" xfId="0" applyFont="1" applyBorder="1" applyAlignment="1" applyProtection="1">
      <alignment horizontal="left" vertical="center" indent="1"/>
      <protection/>
    </xf>
    <xf numFmtId="188" fontId="25" fillId="0" borderId="22" xfId="0" applyNumberFormat="1" applyFont="1" applyBorder="1" applyAlignment="1">
      <alignment horizontal="center" vertical="center"/>
    </xf>
    <xf numFmtId="4" fontId="19" fillId="0" borderId="56" xfId="0" applyNumberFormat="1" applyFont="1" applyBorder="1" applyAlignment="1" applyProtection="1">
      <alignment vertical="center"/>
      <protection locked="0"/>
    </xf>
    <xf numFmtId="4" fontId="19" fillId="0" borderId="15" xfId="0" applyNumberFormat="1" applyFont="1" applyBorder="1" applyAlignment="1" applyProtection="1">
      <alignment vertical="center"/>
      <protection locked="0"/>
    </xf>
    <xf numFmtId="182" fontId="19" fillId="0" borderId="56" xfId="0" applyNumberFormat="1" applyFont="1" applyBorder="1" applyAlignment="1" applyProtection="1">
      <alignment vertical="center"/>
      <protection locked="0"/>
    </xf>
    <xf numFmtId="182" fontId="19" fillId="0" borderId="15" xfId="0" applyNumberFormat="1" applyFont="1" applyBorder="1" applyAlignment="1" applyProtection="1">
      <alignment vertical="center"/>
      <protection locked="0"/>
    </xf>
    <xf numFmtId="182" fontId="2" fillId="0" borderId="55" xfId="0" applyNumberFormat="1" applyFont="1" applyBorder="1" applyAlignment="1" applyProtection="1">
      <alignment vertical="center"/>
      <protection locked="0"/>
    </xf>
    <xf numFmtId="182" fontId="2" fillId="0" borderId="42" xfId="0" applyNumberFormat="1" applyFont="1" applyBorder="1" applyAlignment="1" applyProtection="1">
      <alignment vertical="center"/>
      <protection locked="0"/>
    </xf>
    <xf numFmtId="184" fontId="6" fillId="0" borderId="46" xfId="0" applyNumberFormat="1" applyFont="1" applyBorder="1" applyAlignment="1" applyProtection="1">
      <alignment vertical="center"/>
      <protection locked="0"/>
    </xf>
    <xf numFmtId="184" fontId="6" fillId="0" borderId="27" xfId="0" applyNumberFormat="1" applyFont="1" applyBorder="1" applyAlignment="1" applyProtection="1">
      <alignment vertical="center"/>
      <protection locked="0"/>
    </xf>
    <xf numFmtId="180" fontId="16" fillId="0" borderId="82" xfId="0" applyNumberFormat="1" applyFont="1" applyBorder="1" applyAlignment="1" applyProtection="1">
      <alignment vertical="center"/>
      <protection locked="0"/>
    </xf>
    <xf numFmtId="180" fontId="16" fillId="0" borderId="68" xfId="0" applyNumberFormat="1" applyFont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>
      <alignment vertical="center"/>
    </xf>
    <xf numFmtId="3" fontId="17" fillId="0" borderId="68" xfId="0" applyNumberFormat="1" applyFont="1" applyFill="1" applyBorder="1" applyAlignment="1">
      <alignment vertical="center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2" fillId="0" borderId="50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35" xfId="0" applyBorder="1" applyAlignment="1">
      <alignment/>
    </xf>
    <xf numFmtId="0" fontId="0" fillId="0" borderId="87" xfId="0" applyBorder="1" applyAlignment="1">
      <alignment/>
    </xf>
    <xf numFmtId="182" fontId="2" fillId="0" borderId="10" xfId="0" applyNumberFormat="1" applyFont="1" applyBorder="1" applyAlignment="1" applyProtection="1">
      <alignment vertical="center"/>
      <protection locked="0"/>
    </xf>
    <xf numFmtId="182" fontId="2" fillId="0" borderId="63" xfId="0" applyNumberFormat="1" applyFont="1" applyBorder="1" applyAlignment="1" applyProtection="1">
      <alignment vertical="center"/>
      <protection locked="0"/>
    </xf>
    <xf numFmtId="3" fontId="18" fillId="24" borderId="64" xfId="0" applyNumberFormat="1" applyFont="1" applyFill="1" applyBorder="1" applyAlignment="1">
      <alignment horizontal="center" vertical="center"/>
    </xf>
    <xf numFmtId="3" fontId="18" fillId="24" borderId="63" xfId="0" applyNumberFormat="1" applyFont="1" applyFill="1" applyBorder="1" applyAlignment="1">
      <alignment horizontal="center" vertical="center"/>
    </xf>
    <xf numFmtId="177" fontId="3" fillId="24" borderId="64" xfId="0" applyNumberFormat="1" applyFont="1" applyFill="1" applyBorder="1" applyAlignment="1">
      <alignment vertical="center"/>
    </xf>
    <xf numFmtId="177" fontId="3" fillId="24" borderId="12" xfId="0" applyNumberFormat="1" applyFont="1" applyFill="1" applyBorder="1" applyAlignment="1">
      <alignment vertical="center"/>
    </xf>
    <xf numFmtId="208" fontId="47" fillId="24" borderId="35" xfId="0" applyNumberFormat="1" applyFont="1" applyFill="1" applyBorder="1" applyAlignment="1">
      <alignment horizontal="center" vertical="center"/>
    </xf>
    <xf numFmtId="208" fontId="47" fillId="24" borderId="29" xfId="0" applyNumberFormat="1" applyFont="1" applyFill="1" applyBorder="1" applyAlignment="1">
      <alignment horizontal="center" vertical="center"/>
    </xf>
    <xf numFmtId="3" fontId="3" fillId="24" borderId="64" xfId="0" applyNumberFormat="1" applyFont="1" applyFill="1" applyBorder="1" applyAlignment="1">
      <alignment horizontal="center" vertical="center"/>
    </xf>
    <xf numFmtId="3" fontId="3" fillId="24" borderId="63" xfId="0" applyNumberFormat="1" applyFont="1" applyFill="1" applyBorder="1" applyAlignment="1">
      <alignment horizontal="center" vertical="center"/>
    </xf>
    <xf numFmtId="177" fontId="17" fillId="0" borderId="69" xfId="0" applyNumberFormat="1" applyFont="1" applyFill="1" applyBorder="1" applyAlignment="1">
      <alignment vertical="center"/>
    </xf>
    <xf numFmtId="177" fontId="17" fillId="0" borderId="70" xfId="0" applyNumberFormat="1" applyFont="1" applyFill="1" applyBorder="1" applyAlignment="1">
      <alignment vertical="center"/>
    </xf>
    <xf numFmtId="189" fontId="15" fillId="24" borderId="35" xfId="0" applyNumberFormat="1" applyFont="1" applyFill="1" applyBorder="1" applyAlignment="1">
      <alignment horizontal="center" vertical="center"/>
    </xf>
    <xf numFmtId="189" fontId="15" fillId="24" borderId="29" xfId="0" applyNumberFormat="1" applyFont="1" applyFill="1" applyBorder="1" applyAlignment="1">
      <alignment horizontal="center" vertical="center"/>
    </xf>
    <xf numFmtId="205" fontId="18" fillId="0" borderId="11" xfId="0" applyNumberFormat="1" applyFont="1" applyBorder="1" applyAlignment="1">
      <alignment horizontal="left" vertical="center"/>
    </xf>
    <xf numFmtId="205" fontId="18" fillId="0" borderId="63" xfId="0" applyNumberFormat="1" applyFont="1" applyBorder="1" applyAlignment="1">
      <alignment horizontal="left" vertical="center"/>
    </xf>
    <xf numFmtId="3" fontId="3" fillId="24" borderId="11" xfId="0" applyNumberFormat="1" applyFont="1" applyFill="1" applyBorder="1" applyAlignment="1">
      <alignment horizontal="center" vertical="center"/>
    </xf>
    <xf numFmtId="200" fontId="2" fillId="24" borderId="46" xfId="0" applyNumberFormat="1" applyFont="1" applyFill="1" applyBorder="1" applyAlignment="1">
      <alignment horizontal="left" vertical="center"/>
    </xf>
    <xf numFmtId="200" fontId="2" fillId="24" borderId="27" xfId="0" applyNumberFormat="1" applyFont="1" applyFill="1" applyBorder="1" applyAlignment="1">
      <alignment horizontal="left" vertical="center"/>
    </xf>
    <xf numFmtId="200" fontId="2" fillId="24" borderId="44" xfId="0" applyNumberFormat="1" applyFont="1" applyFill="1" applyBorder="1" applyAlignment="1">
      <alignment horizontal="left" vertical="center"/>
    </xf>
    <xf numFmtId="182" fontId="2" fillId="24" borderId="10" xfId="0" applyNumberFormat="1" applyFont="1" applyFill="1" applyBorder="1" applyAlignment="1" applyProtection="1">
      <alignment vertical="center"/>
      <protection locked="0"/>
    </xf>
    <xf numFmtId="182" fontId="2" fillId="24" borderId="63" xfId="0" applyNumberFormat="1" applyFont="1" applyFill="1" applyBorder="1" applyAlignment="1" applyProtection="1">
      <alignment vertical="center"/>
      <protection locked="0"/>
    </xf>
    <xf numFmtId="180" fontId="16" fillId="0" borderId="82" xfId="0" applyNumberFormat="1" applyFont="1" applyFill="1" applyBorder="1" applyAlignment="1" applyProtection="1">
      <alignment vertical="center"/>
      <protection locked="0"/>
    </xf>
    <xf numFmtId="180" fontId="16" fillId="0" borderId="68" xfId="0" applyNumberFormat="1" applyFont="1" applyFill="1" applyBorder="1" applyAlignment="1" applyProtection="1">
      <alignment vertical="center"/>
      <protection locked="0"/>
    </xf>
    <xf numFmtId="3" fontId="17" fillId="0" borderId="67" xfId="0" applyNumberFormat="1" applyFont="1" applyFill="1" applyBorder="1" applyAlignment="1">
      <alignment vertical="center"/>
    </xf>
    <xf numFmtId="182" fontId="16" fillId="0" borderId="82" xfId="0" applyNumberFormat="1" applyFont="1" applyFill="1" applyBorder="1" applyAlignment="1" applyProtection="1">
      <alignment vertical="center"/>
      <protection locked="0"/>
    </xf>
    <xf numFmtId="182" fontId="16" fillId="0" borderId="68" xfId="0" applyNumberFormat="1" applyFont="1" applyFill="1" applyBorder="1" applyAlignment="1" applyProtection="1">
      <alignment vertical="center"/>
      <protection locked="0"/>
    </xf>
    <xf numFmtId="192" fontId="16" fillId="0" borderId="82" xfId="0" applyNumberFormat="1" applyFont="1" applyBorder="1" applyAlignment="1" applyProtection="1">
      <alignment horizontal="right" vertical="center"/>
      <protection locked="0"/>
    </xf>
    <xf numFmtId="192" fontId="16" fillId="0" borderId="68" xfId="0" applyNumberFormat="1" applyFont="1" applyBorder="1" applyAlignment="1" applyProtection="1">
      <alignment horizontal="right" vertical="center"/>
      <protection locked="0"/>
    </xf>
    <xf numFmtId="183" fontId="16" fillId="0" borderId="24" xfId="0" applyNumberFormat="1" applyFont="1" applyBorder="1" applyAlignment="1" applyProtection="1">
      <alignment horizontal="right" vertical="center"/>
      <protection locked="0"/>
    </xf>
    <xf numFmtId="183" fontId="16" fillId="0" borderId="25" xfId="0" applyNumberFormat="1" applyFont="1" applyBorder="1" applyAlignment="1" applyProtection="1">
      <alignment horizontal="right" vertical="center"/>
      <protection locked="0"/>
    </xf>
    <xf numFmtId="196" fontId="2" fillId="0" borderId="10" xfId="0" applyNumberFormat="1" applyFont="1" applyBorder="1" applyAlignment="1" applyProtection="1">
      <alignment horizontal="right" vertical="center"/>
      <protection locked="0"/>
    </xf>
    <xf numFmtId="196" fontId="2" fillId="0" borderId="63" xfId="0" applyNumberFormat="1" applyFont="1" applyBorder="1" applyAlignment="1" applyProtection="1">
      <alignment horizontal="right" vertical="center"/>
      <protection locked="0"/>
    </xf>
    <xf numFmtId="0" fontId="19" fillId="0" borderId="18" xfId="0" applyFont="1" applyBorder="1" applyAlignment="1" applyProtection="1">
      <alignment horizontal="left" vertical="center" shrinkToFit="1"/>
      <protection/>
    </xf>
    <xf numFmtId="0" fontId="19" fillId="0" borderId="15" xfId="0" applyFont="1" applyBorder="1" applyAlignment="1" applyProtection="1">
      <alignment horizontal="left" vertical="center" shrinkToFit="1"/>
      <protection/>
    </xf>
    <xf numFmtId="183" fontId="2" fillId="24" borderId="64" xfId="0" applyNumberFormat="1" applyFont="1" applyFill="1" applyBorder="1" applyAlignment="1" applyProtection="1">
      <alignment horizontal="center" vertical="center"/>
      <protection locked="0"/>
    </xf>
    <xf numFmtId="183" fontId="2" fillId="24" borderId="12" xfId="0" applyNumberFormat="1" applyFont="1" applyFill="1" applyBorder="1" applyAlignment="1" applyProtection="1">
      <alignment horizontal="center" vertical="center"/>
      <protection locked="0"/>
    </xf>
    <xf numFmtId="58" fontId="2" fillId="0" borderId="27" xfId="0" applyNumberFormat="1" applyFont="1" applyBorder="1" applyAlignment="1" applyProtection="1">
      <alignment horizontal="center" vertical="center"/>
      <protection/>
    </xf>
    <xf numFmtId="58" fontId="2" fillId="0" borderId="44" xfId="0" applyNumberFormat="1" applyFont="1" applyBorder="1" applyAlignment="1" applyProtection="1">
      <alignment horizontal="center" vertical="center"/>
      <protection/>
    </xf>
    <xf numFmtId="206" fontId="2" fillId="24" borderId="27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  <border/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業務用ウィークエンド 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（現契約種別）</a:t>
            </a:r>
          </a:p>
        </c:rich>
      </c:tx>
      <c:layout>
        <c:manualLayout>
          <c:xMode val="factor"/>
          <c:yMode val="factor"/>
          <c:x val="-0.04375"/>
          <c:y val="0.03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765"/>
          <c:h val="0.88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グラフ!$W$4</c:f>
              <c:strCache>
                <c:ptCount val="1"/>
                <c:pt idx="0">
                  <c:v>基本料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グラフ!$V$5:$V$41</c:f>
              <c:strCache>
                <c:ptCount val="37"/>
                <c:pt idx="0">
                  <c:v>6月</c:v>
                </c:pt>
                <c:pt idx="1">
                  <c:v>5月</c:v>
                </c:pt>
                <c:pt idx="2">
                  <c:v>4月</c:v>
                </c:pt>
                <c:pt idx="3">
                  <c:v>3月</c:v>
                </c:pt>
                <c:pt idx="4">
                  <c:v>2月</c:v>
                </c:pt>
                <c:pt idx="5">
                  <c:v>1月</c:v>
                </c:pt>
                <c:pt idx="6">
                  <c:v>12月</c:v>
                </c:pt>
                <c:pt idx="7">
                  <c:v>11月</c:v>
                </c:pt>
                <c:pt idx="8">
                  <c:v>10月</c:v>
                </c:pt>
                <c:pt idx="9">
                  <c:v>9月</c:v>
                </c:pt>
                <c:pt idx="10">
                  <c:v>8月</c:v>
                </c:pt>
                <c:pt idx="11">
                  <c:v>7月</c:v>
                </c:pt>
                <c:pt idx="12">
                  <c:v>6月</c:v>
                </c:pt>
                <c:pt idx="13">
                  <c:v>5月</c:v>
                </c:pt>
                <c:pt idx="14">
                  <c:v>4月</c:v>
                </c:pt>
                <c:pt idx="15">
                  <c:v>3月</c:v>
                </c:pt>
                <c:pt idx="16">
                  <c:v>2月</c:v>
                </c:pt>
                <c:pt idx="17">
                  <c:v>1月</c:v>
                </c:pt>
                <c:pt idx="18">
                  <c:v>12月</c:v>
                </c:pt>
                <c:pt idx="19">
                  <c:v>11月</c:v>
                </c:pt>
                <c:pt idx="20">
                  <c:v>10月</c:v>
                </c:pt>
                <c:pt idx="21">
                  <c:v>9月</c:v>
                </c:pt>
                <c:pt idx="22">
                  <c:v>8月</c:v>
                </c:pt>
                <c:pt idx="23">
                  <c:v>7月</c:v>
                </c:pt>
                <c:pt idx="24">
                  <c:v>6月</c:v>
                </c:pt>
                <c:pt idx="25">
                  <c:v>5月</c:v>
                </c:pt>
                <c:pt idx="26">
                  <c:v>4月</c:v>
                </c:pt>
                <c:pt idx="27">
                  <c:v>3月</c:v>
                </c:pt>
                <c:pt idx="28">
                  <c:v>2月</c:v>
                </c:pt>
                <c:pt idx="29">
                  <c:v>1月</c:v>
                </c:pt>
                <c:pt idx="30">
                  <c:v>12月</c:v>
                </c:pt>
                <c:pt idx="31">
                  <c:v>11月</c:v>
                </c:pt>
                <c:pt idx="32">
                  <c:v>10月</c:v>
                </c:pt>
                <c:pt idx="33">
                  <c:v>9月</c:v>
                </c:pt>
                <c:pt idx="34">
                  <c:v>8月</c:v>
                </c:pt>
                <c:pt idx="35">
                  <c:v>7月</c:v>
                </c:pt>
                <c:pt idx="36">
                  <c:v>6月</c:v>
                </c:pt>
              </c:strCache>
            </c:strRef>
          </c:cat>
          <c:val>
            <c:numRef>
              <c:f>グラフ!$W$5:$W$41</c:f>
              <c:numCache>
                <c:ptCount val="37"/>
                <c:pt idx="0">
                  <c:v>0</c:v>
                </c:pt>
                <c:pt idx="1">
                  <c:v>392.7</c:v>
                </c:pt>
                <c:pt idx="2">
                  <c:v>392.7</c:v>
                </c:pt>
                <c:pt idx="3">
                  <c:v>392.7</c:v>
                </c:pt>
                <c:pt idx="4">
                  <c:v>392.7</c:v>
                </c:pt>
                <c:pt idx="5">
                  <c:v>392.7</c:v>
                </c:pt>
                <c:pt idx="6">
                  <c:v>392.7</c:v>
                </c:pt>
                <c:pt idx="7">
                  <c:v>392.7</c:v>
                </c:pt>
                <c:pt idx="8">
                  <c:v>392.7</c:v>
                </c:pt>
                <c:pt idx="9">
                  <c:v>392.7</c:v>
                </c:pt>
                <c:pt idx="10">
                  <c:v>399.84</c:v>
                </c:pt>
                <c:pt idx="11">
                  <c:v>414.12</c:v>
                </c:pt>
                <c:pt idx="12">
                  <c:v>414.12</c:v>
                </c:pt>
                <c:pt idx="13">
                  <c:v>414.12</c:v>
                </c:pt>
                <c:pt idx="14">
                  <c:v>414.12</c:v>
                </c:pt>
                <c:pt idx="15">
                  <c:v>414.12</c:v>
                </c:pt>
                <c:pt idx="16">
                  <c:v>414.12</c:v>
                </c:pt>
                <c:pt idx="17">
                  <c:v>426.615</c:v>
                </c:pt>
                <c:pt idx="18">
                  <c:v>426.615</c:v>
                </c:pt>
                <c:pt idx="19">
                  <c:v>426.615</c:v>
                </c:pt>
                <c:pt idx="20">
                  <c:v>426.615</c:v>
                </c:pt>
                <c:pt idx="21">
                  <c:v>426.615</c:v>
                </c:pt>
                <c:pt idx="22">
                  <c:v>455.175</c:v>
                </c:pt>
                <c:pt idx="23">
                  <c:v>455.175</c:v>
                </c:pt>
                <c:pt idx="24">
                  <c:v>455.175</c:v>
                </c:pt>
                <c:pt idx="25">
                  <c:v>455.175</c:v>
                </c:pt>
                <c:pt idx="26">
                  <c:v>455.175</c:v>
                </c:pt>
                <c:pt idx="27">
                  <c:v>455.175</c:v>
                </c:pt>
                <c:pt idx="28">
                  <c:v>455.175</c:v>
                </c:pt>
                <c:pt idx="29">
                  <c:v>455.175</c:v>
                </c:pt>
                <c:pt idx="30">
                  <c:v>455.175</c:v>
                </c:pt>
                <c:pt idx="31">
                  <c:v>455.175</c:v>
                </c:pt>
                <c:pt idx="32">
                  <c:v>455.175</c:v>
                </c:pt>
                <c:pt idx="33">
                  <c:v>455.175</c:v>
                </c:pt>
                <c:pt idx="34">
                  <c:v>451.605</c:v>
                </c:pt>
                <c:pt idx="35">
                  <c:v>476.595</c:v>
                </c:pt>
                <c:pt idx="36">
                  <c:v>476.595</c:v>
                </c:pt>
              </c:numCache>
            </c:numRef>
          </c:val>
        </c:ser>
        <c:ser>
          <c:idx val="2"/>
          <c:order val="1"/>
          <c:tx>
            <c:strRef>
              <c:f>グラフ!$X$4</c:f>
              <c:strCache>
                <c:ptCount val="1"/>
                <c:pt idx="0">
                  <c:v>使用料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グラフ!$V$5:$V$41</c:f>
              <c:strCache>
                <c:ptCount val="37"/>
                <c:pt idx="0">
                  <c:v>6月</c:v>
                </c:pt>
                <c:pt idx="1">
                  <c:v>5月</c:v>
                </c:pt>
                <c:pt idx="2">
                  <c:v>4月</c:v>
                </c:pt>
                <c:pt idx="3">
                  <c:v>3月</c:v>
                </c:pt>
                <c:pt idx="4">
                  <c:v>2月</c:v>
                </c:pt>
                <c:pt idx="5">
                  <c:v>1月</c:v>
                </c:pt>
                <c:pt idx="6">
                  <c:v>12月</c:v>
                </c:pt>
                <c:pt idx="7">
                  <c:v>11月</c:v>
                </c:pt>
                <c:pt idx="8">
                  <c:v>10月</c:v>
                </c:pt>
                <c:pt idx="9">
                  <c:v>9月</c:v>
                </c:pt>
                <c:pt idx="10">
                  <c:v>8月</c:v>
                </c:pt>
                <c:pt idx="11">
                  <c:v>7月</c:v>
                </c:pt>
                <c:pt idx="12">
                  <c:v>6月</c:v>
                </c:pt>
                <c:pt idx="13">
                  <c:v>5月</c:v>
                </c:pt>
                <c:pt idx="14">
                  <c:v>4月</c:v>
                </c:pt>
                <c:pt idx="15">
                  <c:v>3月</c:v>
                </c:pt>
                <c:pt idx="16">
                  <c:v>2月</c:v>
                </c:pt>
                <c:pt idx="17">
                  <c:v>1月</c:v>
                </c:pt>
                <c:pt idx="18">
                  <c:v>12月</c:v>
                </c:pt>
                <c:pt idx="19">
                  <c:v>11月</c:v>
                </c:pt>
                <c:pt idx="20">
                  <c:v>10月</c:v>
                </c:pt>
                <c:pt idx="21">
                  <c:v>9月</c:v>
                </c:pt>
                <c:pt idx="22">
                  <c:v>8月</c:v>
                </c:pt>
                <c:pt idx="23">
                  <c:v>7月</c:v>
                </c:pt>
                <c:pt idx="24">
                  <c:v>6月</c:v>
                </c:pt>
                <c:pt idx="25">
                  <c:v>5月</c:v>
                </c:pt>
                <c:pt idx="26">
                  <c:v>4月</c:v>
                </c:pt>
                <c:pt idx="27">
                  <c:v>3月</c:v>
                </c:pt>
                <c:pt idx="28">
                  <c:v>2月</c:v>
                </c:pt>
                <c:pt idx="29">
                  <c:v>1月</c:v>
                </c:pt>
                <c:pt idx="30">
                  <c:v>12月</c:v>
                </c:pt>
                <c:pt idx="31">
                  <c:v>11月</c:v>
                </c:pt>
                <c:pt idx="32">
                  <c:v>10月</c:v>
                </c:pt>
                <c:pt idx="33">
                  <c:v>9月</c:v>
                </c:pt>
                <c:pt idx="34">
                  <c:v>8月</c:v>
                </c:pt>
                <c:pt idx="35">
                  <c:v>7月</c:v>
                </c:pt>
                <c:pt idx="36">
                  <c:v>6月</c:v>
                </c:pt>
              </c:strCache>
            </c:strRef>
          </c:cat>
          <c:val>
            <c:numRef>
              <c:f>グラフ!$X$5:$X$41</c:f>
              <c:numCache>
                <c:ptCount val="37"/>
                <c:pt idx="0">
                  <c:v>0</c:v>
                </c:pt>
                <c:pt idx="1">
                  <c:v>324.4998599999987</c:v>
                </c:pt>
                <c:pt idx="2">
                  <c:v>330.4519199999998</c:v>
                </c:pt>
                <c:pt idx="3">
                  <c:v>414.7119600000006</c:v>
                </c:pt>
                <c:pt idx="4">
                  <c:v>452.96598000000347</c:v>
                </c:pt>
                <c:pt idx="5">
                  <c:v>462.1191599999983</c:v>
                </c:pt>
                <c:pt idx="6">
                  <c:v>335.6645399999977</c:v>
                </c:pt>
                <c:pt idx="7">
                  <c:v>324.5223000000017</c:v>
                </c:pt>
                <c:pt idx="8">
                  <c:v>438.78588000000104</c:v>
                </c:pt>
                <c:pt idx="9">
                  <c:v>568.165079999996</c:v>
                </c:pt>
                <c:pt idx="10">
                  <c:v>508.9126200000019</c:v>
                </c:pt>
                <c:pt idx="11">
                  <c:v>359.99886000000066</c:v>
                </c:pt>
                <c:pt idx="12">
                  <c:v>315.0985199999991</c:v>
                </c:pt>
                <c:pt idx="13">
                  <c:v>311.91516000000115</c:v>
                </c:pt>
                <c:pt idx="14">
                  <c:v>402.10067999999933</c:v>
                </c:pt>
                <c:pt idx="15">
                  <c:v>485.2948200000004</c:v>
                </c:pt>
                <c:pt idx="16">
                  <c:v>489.73044000000004</c:v>
                </c:pt>
                <c:pt idx="17">
                  <c:v>465.4207800000008</c:v>
                </c:pt>
                <c:pt idx="18">
                  <c:v>376.7801999999985</c:v>
                </c:pt>
                <c:pt idx="19">
                  <c:v>407.3764200000004</c:v>
                </c:pt>
                <c:pt idx="20">
                  <c:v>558.1791000000007</c:v>
                </c:pt>
                <c:pt idx="21">
                  <c:v>651.6570600000002</c:v>
                </c:pt>
                <c:pt idx="22">
                  <c:v>648.854759999999</c:v>
                </c:pt>
                <c:pt idx="23">
                  <c:v>546.0598800000012</c:v>
                </c:pt>
                <c:pt idx="24">
                  <c:v>436.16111999999964</c:v>
                </c:pt>
                <c:pt idx="25">
                  <c:v>371.9977200000009</c:v>
                </c:pt>
                <c:pt idx="26">
                  <c:v>413.26968</c:v>
                </c:pt>
                <c:pt idx="27">
                  <c:v>438.3391199999985</c:v>
                </c:pt>
                <c:pt idx="28">
                  <c:v>565.3254600000001</c:v>
                </c:pt>
                <c:pt idx="29">
                  <c:v>465.14237999999983</c:v>
                </c:pt>
                <c:pt idx="30">
                  <c:v>405.290040000001</c:v>
                </c:pt>
                <c:pt idx="31">
                  <c:v>515.9579999999994</c:v>
                </c:pt>
                <c:pt idx="32">
                  <c:v>660.1519799999996</c:v>
                </c:pt>
                <c:pt idx="33">
                  <c:v>785.1744600000023</c:v>
                </c:pt>
                <c:pt idx="34">
                  <c:v>755.3837399999983</c:v>
                </c:pt>
                <c:pt idx="35">
                  <c:v>581.6767199999992</c:v>
                </c:pt>
                <c:pt idx="36">
                  <c:v>452.2797600000015</c:v>
                </c:pt>
              </c:numCache>
            </c:numRef>
          </c:val>
        </c:ser>
        <c:overlap val="100"/>
        <c:gapWidth val="0"/>
        <c:axId val="2023478"/>
        <c:axId val="18211303"/>
      </c:barChart>
      <c:catAx>
        <c:axId val="20234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（平成22年4月～平成25年4月の検針・請求書発行月）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11303"/>
        <c:crosses val="autoZero"/>
        <c:auto val="1"/>
        <c:lblOffset val="100"/>
        <c:tickLblSkip val="2"/>
        <c:noMultiLvlLbl val="0"/>
      </c:catAx>
      <c:valAx>
        <c:axId val="18211303"/>
        <c:scaling>
          <c:orientation val="minMax"/>
          <c:max val="15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金額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〔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千円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3478"/>
        <c:crossesAt val="1"/>
        <c:crossBetween val="between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05375"/>
          <c:w val="0.08775"/>
          <c:h val="0.1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最大需要電力 と 契約電力</a:t>
            </a:r>
          </a:p>
        </c:rich>
      </c:tx>
      <c:layout>
        <c:manualLayout>
          <c:xMode val="factor"/>
          <c:yMode val="factor"/>
          <c:x val="-0.03525"/>
          <c:y val="0.7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5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グラフ!$T$4</c:f>
              <c:strCache>
                <c:ptCount val="1"/>
                <c:pt idx="0">
                  <c:v>最大需要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グラフ!$T$5:$T$41</c:f>
              <c:numCache>
                <c:ptCount val="37"/>
                <c:pt idx="0">
                  <c:v>0</c:v>
                </c:pt>
                <c:pt idx="1">
                  <c:v>126</c:v>
                </c:pt>
                <c:pt idx="2">
                  <c:v>168.60000000000002</c:v>
                </c:pt>
                <c:pt idx="3">
                  <c:v>182.4</c:v>
                </c:pt>
                <c:pt idx="4">
                  <c:v>187.2</c:v>
                </c:pt>
                <c:pt idx="5">
                  <c:v>184.8</c:v>
                </c:pt>
                <c:pt idx="6">
                  <c:v>165.60000000000002</c:v>
                </c:pt>
                <c:pt idx="7">
                  <c:v>133.8</c:v>
                </c:pt>
                <c:pt idx="8">
                  <c:v>192</c:v>
                </c:pt>
                <c:pt idx="9">
                  <c:v>216</c:v>
                </c:pt>
                <c:pt idx="10">
                  <c:v>219.6</c:v>
                </c:pt>
                <c:pt idx="11">
                  <c:v>152.4</c:v>
                </c:pt>
                <c:pt idx="12">
                  <c:v>127.2</c:v>
                </c:pt>
                <c:pt idx="13">
                  <c:v>147</c:v>
                </c:pt>
                <c:pt idx="14">
                  <c:v>161.4</c:v>
                </c:pt>
                <c:pt idx="15">
                  <c:v>204.60000000000002</c:v>
                </c:pt>
                <c:pt idx="16">
                  <c:v>196.20000000000002</c:v>
                </c:pt>
                <c:pt idx="17">
                  <c:v>208.79999999999998</c:v>
                </c:pt>
                <c:pt idx="18">
                  <c:v>152.4</c:v>
                </c:pt>
                <c:pt idx="19">
                  <c:v>162.60000000000002</c:v>
                </c:pt>
                <c:pt idx="20">
                  <c:v>202.20000000000002</c:v>
                </c:pt>
                <c:pt idx="21">
                  <c:v>224.4</c:v>
                </c:pt>
                <c:pt idx="22">
                  <c:v>231.6</c:v>
                </c:pt>
                <c:pt idx="23">
                  <c:v>221.4</c:v>
                </c:pt>
                <c:pt idx="24">
                  <c:v>196.20000000000002</c:v>
                </c:pt>
                <c:pt idx="25">
                  <c:v>150.6</c:v>
                </c:pt>
                <c:pt idx="26">
                  <c:v>218.4</c:v>
                </c:pt>
                <c:pt idx="27">
                  <c:v>217.79999999999998</c:v>
                </c:pt>
                <c:pt idx="28">
                  <c:v>239.4</c:v>
                </c:pt>
                <c:pt idx="29">
                  <c:v>212.39999999999998</c:v>
                </c:pt>
                <c:pt idx="30">
                  <c:v>172.2</c:v>
                </c:pt>
                <c:pt idx="31">
                  <c:v>190.8</c:v>
                </c:pt>
                <c:pt idx="32">
                  <c:v>231.6</c:v>
                </c:pt>
                <c:pt idx="33">
                  <c:v>255</c:v>
                </c:pt>
                <c:pt idx="34">
                  <c:v>249</c:v>
                </c:pt>
                <c:pt idx="35">
                  <c:v>235.8</c:v>
                </c:pt>
                <c:pt idx="36">
                  <c:v>188.4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グラフ!$U$4</c:f>
              <c:strCache>
                <c:ptCount val="1"/>
                <c:pt idx="0">
                  <c:v>契約電力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グラフ!$U$5:$U$41</c:f>
              <c:numCache>
                <c:ptCount val="37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224</c:v>
                </c:pt>
                <c:pt idx="11">
                  <c:v>232</c:v>
                </c:pt>
                <c:pt idx="12">
                  <c:v>232</c:v>
                </c:pt>
                <c:pt idx="13">
                  <c:v>232</c:v>
                </c:pt>
                <c:pt idx="14">
                  <c:v>232</c:v>
                </c:pt>
                <c:pt idx="15">
                  <c:v>232</c:v>
                </c:pt>
                <c:pt idx="16">
                  <c:v>232</c:v>
                </c:pt>
                <c:pt idx="17">
                  <c:v>239</c:v>
                </c:pt>
                <c:pt idx="18">
                  <c:v>239</c:v>
                </c:pt>
                <c:pt idx="19">
                  <c:v>239</c:v>
                </c:pt>
                <c:pt idx="20">
                  <c:v>239</c:v>
                </c:pt>
                <c:pt idx="21">
                  <c:v>239</c:v>
                </c:pt>
                <c:pt idx="22">
                  <c:v>255</c:v>
                </c:pt>
                <c:pt idx="23">
                  <c:v>255</c:v>
                </c:pt>
                <c:pt idx="24">
                  <c:v>255</c:v>
                </c:pt>
                <c:pt idx="25">
                  <c:v>255</c:v>
                </c:pt>
                <c:pt idx="26">
                  <c:v>255</c:v>
                </c:pt>
                <c:pt idx="27">
                  <c:v>255</c:v>
                </c:pt>
                <c:pt idx="28">
                  <c:v>255</c:v>
                </c:pt>
                <c:pt idx="29">
                  <c:v>255</c:v>
                </c:pt>
                <c:pt idx="30">
                  <c:v>255</c:v>
                </c:pt>
                <c:pt idx="31">
                  <c:v>255</c:v>
                </c:pt>
                <c:pt idx="32">
                  <c:v>255</c:v>
                </c:pt>
                <c:pt idx="33">
                  <c:v>255</c:v>
                </c:pt>
                <c:pt idx="34">
                  <c:v>253</c:v>
                </c:pt>
                <c:pt idx="35">
                  <c:v>267</c:v>
                </c:pt>
                <c:pt idx="36">
                  <c:v>267</c:v>
                </c:pt>
              </c:numCache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5829409"/>
        <c:crossesAt val="0"/>
        <c:auto val="1"/>
        <c:lblOffset val="100"/>
        <c:tickLblSkip val="1"/>
        <c:noMultiLvlLbl val="0"/>
      </c:catAx>
      <c:valAx>
        <c:axId val="65829409"/>
        <c:scaling>
          <c:orientation val="minMax"/>
          <c:max val="4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電力量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〔kW〕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84000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369</xdr:row>
      <xdr:rowOff>0</xdr:rowOff>
    </xdr:from>
    <xdr:to>
      <xdr:col>14</xdr:col>
      <xdr:colOff>57150</xdr:colOff>
      <xdr:row>369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4743450" y="2021205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619375" y="44862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  <xdr:twoCellAnchor>
    <xdr:from>
      <xdr:col>6</xdr:col>
      <xdr:colOff>314325</xdr:colOff>
      <xdr:row>27</xdr:row>
      <xdr:rowOff>0</xdr:rowOff>
    </xdr:from>
    <xdr:to>
      <xdr:col>8</xdr:col>
      <xdr:colOff>38100</xdr:colOff>
      <xdr:row>27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619375" y="4486275"/>
          <a:ext cx="447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　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17</xdr:col>
      <xdr:colOff>571500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0" y="2686050"/>
        <a:ext cx="66008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28575</xdr:rowOff>
    </xdr:from>
    <xdr:to>
      <xdr:col>17</xdr:col>
      <xdr:colOff>561975</xdr:colOff>
      <xdr:row>17</xdr:row>
      <xdr:rowOff>19050</xdr:rowOff>
    </xdr:to>
    <xdr:graphicFrame>
      <xdr:nvGraphicFramePr>
        <xdr:cNvPr id="2" name="Chart 2"/>
        <xdr:cNvGraphicFramePr/>
      </xdr:nvGraphicFramePr>
      <xdr:xfrm>
        <a:off x="0" y="428625"/>
        <a:ext cx="65913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876300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257175</xdr:colOff>
      <xdr:row>4</xdr:row>
      <xdr:rowOff>114300</xdr:rowOff>
    </xdr:from>
    <xdr:to>
      <xdr:col>15</xdr:col>
      <xdr:colOff>85725</xdr:colOff>
      <xdr:row>8</xdr:row>
      <xdr:rowOff>76200</xdr:rowOff>
    </xdr:to>
    <xdr:sp>
      <xdr:nvSpPr>
        <xdr:cNvPr id="4" name="Freeform 4"/>
        <xdr:cNvSpPr>
          <a:spLocks/>
        </xdr:cNvSpPr>
      </xdr:nvSpPr>
      <xdr:spPr>
        <a:xfrm>
          <a:off x="4181475" y="819150"/>
          <a:ext cx="1047750" cy="571500"/>
        </a:xfrm>
        <a:custGeom>
          <a:pathLst>
            <a:path h="46" w="115">
              <a:moveTo>
                <a:pt x="115" y="0"/>
              </a:moveTo>
              <a:lnTo>
                <a:pt x="21" y="0"/>
              </a:lnTo>
              <a:lnTo>
                <a:pt x="0" y="46"/>
              </a:lnTo>
            </a:path>
          </a:pathLst>
        </a:custGeom>
        <a:noFill/>
        <a:ln w="6350" cmpd="sng">
          <a:solidFill>
            <a:srgbClr val="FF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76200</xdr:rowOff>
    </xdr:from>
    <xdr:to>
      <xdr:col>15</xdr:col>
      <xdr:colOff>123825</xdr:colOff>
      <xdr:row>4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552950" y="628650"/>
          <a:ext cx="714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契約電力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W354" sqref="W354"/>
    </sheetView>
  </sheetViews>
  <sheetFormatPr defaultColWidth="9.00390625" defaultRowHeight="13.5"/>
  <cols>
    <col min="1" max="1" width="4.25390625" style="27" customWidth="1"/>
    <col min="2" max="2" width="5.00390625" style="27" customWidth="1"/>
    <col min="3" max="20" width="4.75390625" style="1" customWidth="1"/>
    <col min="21" max="21" width="10.375" style="1" customWidth="1"/>
    <col min="22" max="23" width="9.375" style="1" customWidth="1"/>
    <col min="24" max="24" width="9.00390625" style="1" customWidth="1"/>
    <col min="25" max="25" width="6.00390625" style="1" customWidth="1"/>
    <col min="26" max="16384" width="9.00390625" style="1" customWidth="1"/>
  </cols>
  <sheetData>
    <row r="1" spans="1:20" s="103" customFormat="1" ht="18" customHeight="1">
      <c r="A1" s="106"/>
      <c r="B1" s="106"/>
      <c r="Q1" s="197" t="str">
        <f>IF($N$2="","平成　　年　　月分",$N$2)</f>
        <v>平成　　年　　月分</v>
      </c>
      <c r="R1" s="196"/>
      <c r="S1" s="196"/>
      <c r="T1" s="196"/>
    </row>
    <row r="2" spans="1:22" s="103" customFormat="1" ht="21" customHeight="1">
      <c r="A2" s="617" t="s">
        <v>12</v>
      </c>
      <c r="B2" s="618"/>
      <c r="C2" s="619"/>
      <c r="D2" s="627" t="s">
        <v>405</v>
      </c>
      <c r="E2" s="628"/>
      <c r="F2" s="628"/>
      <c r="G2" s="628"/>
      <c r="H2" s="628"/>
      <c r="I2" s="628"/>
      <c r="J2" s="628"/>
      <c r="K2" s="628"/>
      <c r="L2" s="629"/>
      <c r="M2" s="155" t="s">
        <v>122</v>
      </c>
      <c r="N2" s="92">
        <f ca="1">IF(INDIRECT("u14")="","",INDIRECT("u14"))</f>
      </c>
      <c r="O2" s="93"/>
      <c r="P2" s="157" t="str">
        <f>IF($N$2="","（　）",WEEKDAY(($N$2),1))</f>
        <v>（　）</v>
      </c>
      <c r="Q2" s="175" t="s">
        <v>2</v>
      </c>
      <c r="R2" s="156">
        <f ca="1">IF(INDIRECT("v14")="","",INDIRECT("v14"))</f>
      </c>
      <c r="S2" s="176" t="s">
        <v>18</v>
      </c>
      <c r="T2" s="524">
        <f ca="1">IF(INDIRECT("w14")="","",INDIRECT("w14"))</f>
      </c>
      <c r="U2" s="165" t="s">
        <v>126</v>
      </c>
      <c r="V2" s="245" t="s">
        <v>168</v>
      </c>
    </row>
    <row r="3" spans="1:22" s="103" customFormat="1" ht="21" customHeight="1">
      <c r="A3" s="620"/>
      <c r="B3" s="621"/>
      <c r="C3" s="622"/>
      <c r="D3" s="630"/>
      <c r="E3" s="631"/>
      <c r="F3" s="631"/>
      <c r="G3" s="631"/>
      <c r="H3" s="631"/>
      <c r="I3" s="631"/>
      <c r="J3" s="631"/>
      <c r="K3" s="631"/>
      <c r="L3" s="632"/>
      <c r="M3" s="177" t="s">
        <v>19</v>
      </c>
      <c r="N3" s="198">
        <f ca="1">IF(INDIRECT("x14")="","",INDIRECT("x14"))</f>
      </c>
      <c r="O3" s="199"/>
      <c r="P3" s="199"/>
      <c r="Q3" s="177" t="s">
        <v>20</v>
      </c>
      <c r="R3" s="640">
        <f ca="1">IF(INDIRECT("y14")="","",INDIRECT("y14"))</f>
      </c>
      <c r="S3" s="641"/>
      <c r="T3" s="178" t="s">
        <v>21</v>
      </c>
      <c r="U3" s="166" t="str">
        <f>"e"&amp;V3+1&amp;":e"&amp;V3+12</f>
        <v>e95:e106</v>
      </c>
      <c r="V3" s="245">
        <f>ROW(J94)</f>
        <v>94</v>
      </c>
    </row>
    <row r="4" spans="1:16" s="103" customFormat="1" ht="6" customHeight="1">
      <c r="A4" s="110"/>
      <c r="B4" s="110"/>
      <c r="C4" s="110"/>
      <c r="D4" s="111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20" s="103" customFormat="1" ht="18" customHeight="1">
      <c r="A5" s="107" t="s">
        <v>13</v>
      </c>
      <c r="B5" s="108"/>
      <c r="C5" s="315" t="s">
        <v>185</v>
      </c>
      <c r="D5" s="104"/>
      <c r="E5" s="104"/>
      <c r="F5" s="104"/>
      <c r="G5" s="313"/>
      <c r="H5" s="104"/>
      <c r="I5" s="107" t="s">
        <v>114</v>
      </c>
      <c r="J5" s="108"/>
      <c r="K5" s="623">
        <f>150+300+200</f>
        <v>650</v>
      </c>
      <c r="L5" s="624"/>
      <c r="M5" s="174" t="s">
        <v>130</v>
      </c>
      <c r="N5" s="179" t="s">
        <v>349</v>
      </c>
      <c r="O5" s="180"/>
      <c r="P5" s="112"/>
      <c r="Q5" s="112"/>
      <c r="R5" s="112"/>
      <c r="S5" s="112"/>
      <c r="T5" s="185"/>
    </row>
    <row r="6" spans="1:20" s="103" customFormat="1" ht="18" customHeight="1">
      <c r="A6" s="107" t="s">
        <v>116</v>
      </c>
      <c r="B6" s="109"/>
      <c r="C6" s="625">
        <f ca="1">MAX(INDIRECT(U3))</f>
        <v>219.6</v>
      </c>
      <c r="D6" s="626"/>
      <c r="E6" s="112" t="s">
        <v>131</v>
      </c>
      <c r="F6" s="104"/>
      <c r="G6" s="293"/>
      <c r="H6" s="522" t="s">
        <v>404</v>
      </c>
      <c r="I6" s="181" t="s">
        <v>14</v>
      </c>
      <c r="J6" s="108"/>
      <c r="K6" s="623">
        <v>108</v>
      </c>
      <c r="L6" s="624"/>
      <c r="M6" s="105" t="s">
        <v>132</v>
      </c>
      <c r="N6" s="182"/>
      <c r="O6" s="183"/>
      <c r="P6" s="183"/>
      <c r="Q6" s="183"/>
      <c r="R6" s="183"/>
      <c r="S6" s="267" t="s">
        <v>142</v>
      </c>
      <c r="T6" s="268"/>
    </row>
    <row r="7" spans="1:20" s="103" customFormat="1" ht="14.25" customHeight="1">
      <c r="A7" s="115" t="s">
        <v>16</v>
      </c>
      <c r="B7" s="116"/>
      <c r="C7" s="117"/>
      <c r="D7" s="118" t="s">
        <v>399</v>
      </c>
      <c r="E7" s="119"/>
      <c r="F7" s="119"/>
      <c r="G7" s="119" t="s">
        <v>400</v>
      </c>
      <c r="H7" s="119"/>
      <c r="I7" s="120"/>
      <c r="J7" s="160"/>
      <c r="K7" s="121"/>
      <c r="L7" s="121" t="s">
        <v>1</v>
      </c>
      <c r="M7" s="122" t="s">
        <v>402</v>
      </c>
      <c r="N7" s="106"/>
      <c r="O7" s="123"/>
      <c r="P7" s="106"/>
      <c r="Q7" s="123" t="s">
        <v>113</v>
      </c>
      <c r="R7" s="106" t="s">
        <v>403</v>
      </c>
      <c r="S7" s="184"/>
      <c r="T7" s="124"/>
    </row>
    <row r="8" spans="1:20" s="103" customFormat="1" ht="14.25" customHeight="1">
      <c r="A8" s="125"/>
      <c r="B8" s="126" t="s">
        <v>143</v>
      </c>
      <c r="C8" s="127"/>
      <c r="D8" s="128" t="s">
        <v>399</v>
      </c>
      <c r="E8" s="129"/>
      <c r="F8" s="129"/>
      <c r="G8" s="129" t="s">
        <v>401</v>
      </c>
      <c r="H8" s="129"/>
      <c r="I8" s="130"/>
      <c r="J8" s="130" t="s">
        <v>17</v>
      </c>
      <c r="K8" s="131"/>
      <c r="L8" s="131" t="s">
        <v>1</v>
      </c>
      <c r="M8" s="132" t="s">
        <v>402</v>
      </c>
      <c r="N8" s="129"/>
      <c r="O8" s="133"/>
      <c r="P8" s="129"/>
      <c r="Q8" s="133" t="s">
        <v>113</v>
      </c>
      <c r="R8" s="129" t="s">
        <v>403</v>
      </c>
      <c r="S8" s="106"/>
      <c r="T8" s="134"/>
    </row>
    <row r="9" spans="1:20" s="103" customFormat="1" ht="14.25" customHeight="1">
      <c r="A9" s="135"/>
      <c r="B9" s="136"/>
      <c r="C9" s="137"/>
      <c r="D9" s="138"/>
      <c r="E9" s="139"/>
      <c r="F9" s="139"/>
      <c r="G9" s="139"/>
      <c r="H9" s="139"/>
      <c r="I9" s="139"/>
      <c r="J9" s="161"/>
      <c r="K9" s="140"/>
      <c r="L9" s="140"/>
      <c r="M9" s="139"/>
      <c r="N9" s="139"/>
      <c r="O9" s="141"/>
      <c r="P9" s="139"/>
      <c r="Q9" s="141"/>
      <c r="R9" s="139"/>
      <c r="S9" s="139"/>
      <c r="T9" s="142"/>
    </row>
    <row r="10" spans="1:20" ht="4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7"/>
      <c r="T10" s="27"/>
    </row>
    <row r="11" spans="1:25" ht="15.75" customHeight="1">
      <c r="A11" s="28"/>
      <c r="B11" s="29"/>
      <c r="C11" s="2" t="s">
        <v>199</v>
      </c>
      <c r="D11" s="3"/>
      <c r="E11" s="3"/>
      <c r="F11" s="3"/>
      <c r="G11" s="3"/>
      <c r="H11" s="4"/>
      <c r="I11" s="2" t="s">
        <v>201</v>
      </c>
      <c r="J11" s="3"/>
      <c r="K11" s="3"/>
      <c r="L11" s="3"/>
      <c r="M11" s="3"/>
      <c r="N11" s="4"/>
      <c r="O11" s="2" t="s">
        <v>22</v>
      </c>
      <c r="P11" s="3"/>
      <c r="Q11" s="3"/>
      <c r="R11" s="4"/>
      <c r="S11" s="61" t="s">
        <v>139</v>
      </c>
      <c r="T11" s="187" t="s">
        <v>135</v>
      </c>
      <c r="U11" s="236" t="s">
        <v>160</v>
      </c>
      <c r="V11" s="237"/>
      <c r="W11" s="237"/>
      <c r="X11" s="237"/>
      <c r="Y11" s="238"/>
    </row>
    <row r="12" spans="1:25" ht="15.75" customHeight="1">
      <c r="A12" s="22" t="s">
        <v>24</v>
      </c>
      <c r="B12" s="13"/>
      <c r="C12" s="14" t="s">
        <v>25</v>
      </c>
      <c r="D12" s="20"/>
      <c r="E12" s="6" t="s">
        <v>26</v>
      </c>
      <c r="F12" s="11"/>
      <c r="G12" s="7"/>
      <c r="H12" s="72"/>
      <c r="I12" s="14" t="s">
        <v>25</v>
      </c>
      <c r="J12" s="20"/>
      <c r="K12" s="6" t="s">
        <v>27</v>
      </c>
      <c r="L12" s="11"/>
      <c r="M12" s="7"/>
      <c r="N12" s="72"/>
      <c r="O12" s="14" t="s">
        <v>28</v>
      </c>
      <c r="P12" s="15"/>
      <c r="Q12" s="12" t="s">
        <v>29</v>
      </c>
      <c r="R12" s="16"/>
      <c r="S12" s="22" t="s">
        <v>138</v>
      </c>
      <c r="T12" s="188" t="s">
        <v>136</v>
      </c>
      <c r="U12" s="239" t="s">
        <v>161</v>
      </c>
      <c r="V12" s="253" t="s">
        <v>165</v>
      </c>
      <c r="W12" s="254" t="s">
        <v>166</v>
      </c>
      <c r="X12" s="239" t="s">
        <v>163</v>
      </c>
      <c r="Y12" s="239" t="s">
        <v>164</v>
      </c>
    </row>
    <row r="13" spans="1:25" s="10" customFormat="1" ht="15.75" customHeight="1">
      <c r="A13" s="87" t="s">
        <v>11</v>
      </c>
      <c r="B13" s="88"/>
      <c r="C13" s="146" t="s">
        <v>144</v>
      </c>
      <c r="D13" s="147"/>
      <c r="E13" s="278" t="s">
        <v>31</v>
      </c>
      <c r="F13" s="278"/>
      <c r="G13" s="278" t="s">
        <v>32</v>
      </c>
      <c r="H13" s="279"/>
      <c r="I13" s="146" t="s">
        <v>118</v>
      </c>
      <c r="J13" s="147"/>
      <c r="K13" s="278" t="s">
        <v>31</v>
      </c>
      <c r="L13" s="278"/>
      <c r="M13" s="278" t="s">
        <v>32</v>
      </c>
      <c r="N13" s="279"/>
      <c r="O13" s="280" t="s">
        <v>31</v>
      </c>
      <c r="P13" s="281"/>
      <c r="Q13" s="281" t="s">
        <v>32</v>
      </c>
      <c r="R13" s="282"/>
      <c r="S13" s="323" t="s">
        <v>33</v>
      </c>
      <c r="T13" s="189" t="s">
        <v>137</v>
      </c>
      <c r="U13" s="240"/>
      <c r="V13" s="255" t="s">
        <v>162</v>
      </c>
      <c r="W13" s="256" t="s">
        <v>162</v>
      </c>
      <c r="X13" s="240"/>
      <c r="Y13" s="240" t="s">
        <v>167</v>
      </c>
    </row>
    <row r="14" spans="1:25" ht="12" customHeight="1">
      <c r="A14" s="85">
        <f>EOMONTH(A15,0)+1</f>
        <v>41426</v>
      </c>
      <c r="B14" s="337"/>
      <c r="C14" s="581"/>
      <c r="D14" s="582"/>
      <c r="E14" s="588">
        <f aca="true" t="shared" si="0" ref="E14:E19">IF(C14="","",(C14-C15)*600)</f>
      </c>
      <c r="F14" s="589"/>
      <c r="G14" s="590">
        <f>IF(C14="","",E14/DATEDIF($A15,$A14,"d"))</f>
      </c>
      <c r="H14" s="591"/>
      <c r="I14" s="581"/>
      <c r="J14" s="582"/>
      <c r="K14" s="588">
        <f aca="true" t="shared" si="1" ref="K14:K19">IF(I14="","",(I14-I15)*600)</f>
      </c>
      <c r="L14" s="589"/>
      <c r="M14" s="590">
        <f>IF(I14="","",K14/DATEDIF($A15,$A14,"d"))</f>
      </c>
      <c r="N14" s="591"/>
      <c r="O14" s="583">
        <f>IF(I14="","",E14+K14)</f>
      </c>
      <c r="P14" s="594"/>
      <c r="Q14" s="595">
        <f aca="true" t="shared" si="2" ref="Q14:Q19">IF(O14="","",O14/DATEDIF($A15,$A14,"d"))</f>
      </c>
      <c r="R14" s="594"/>
      <c r="S14" s="192">
        <f>IF(O14="","",K14/O14)</f>
      </c>
      <c r="T14" s="148">
        <f ca="1">IF(Q14="","",Q14/INDIRECT("E"&amp;V$3+ROW(T15)-14)/24)</f>
      </c>
      <c r="U14" s="241"/>
      <c r="V14" s="257"/>
      <c r="W14" s="258"/>
      <c r="X14" s="243"/>
      <c r="Y14" s="242"/>
    </row>
    <row r="15" spans="1:25" ht="12" customHeight="1">
      <c r="A15" s="85">
        <f>EOMONTH(A16,0)+1</f>
        <v>41395</v>
      </c>
      <c r="B15" s="337"/>
      <c r="C15" s="581">
        <v>4733.46</v>
      </c>
      <c r="D15" s="582"/>
      <c r="E15" s="588">
        <f t="shared" si="0"/>
        <v>27413.99999999976</v>
      </c>
      <c r="F15" s="589"/>
      <c r="G15" s="590">
        <f>IF(C15="","",E15/DATEDIF($A16,$A15,"d"))</f>
        <v>913.799999999992</v>
      </c>
      <c r="H15" s="591"/>
      <c r="I15" s="581">
        <v>2442</v>
      </c>
      <c r="J15" s="582"/>
      <c r="K15" s="588">
        <f t="shared" si="1"/>
        <v>11706.000000000131</v>
      </c>
      <c r="L15" s="589"/>
      <c r="M15" s="590">
        <f>IF(I15="","",K15/DATEDIF($A16,$A15,"d"))</f>
        <v>390.20000000000437</v>
      </c>
      <c r="N15" s="591"/>
      <c r="O15" s="583">
        <f aca="true" t="shared" si="3" ref="O15:O20">IF(I15="","",E15+K15)</f>
        <v>39119.99999999989</v>
      </c>
      <c r="P15" s="594"/>
      <c r="Q15" s="595">
        <f t="shared" si="2"/>
        <v>1303.9999999999964</v>
      </c>
      <c r="R15" s="594"/>
      <c r="S15" s="192">
        <f>IF(O15="","",K15/O15)</f>
        <v>0.29923312883436</v>
      </c>
      <c r="T15" s="148">
        <f ca="1">IF(Q15="","",Q15/INDIRECT("E"&amp;V$3+ROW(T16)-14)/24)</f>
        <v>0.43121693121693</v>
      </c>
      <c r="U15" s="241">
        <v>41401</v>
      </c>
      <c r="V15" s="257">
        <v>0.4583333333333333</v>
      </c>
      <c r="W15" s="258">
        <v>0.5</v>
      </c>
      <c r="X15" s="243" t="s">
        <v>270</v>
      </c>
      <c r="Y15" s="242">
        <v>13.8</v>
      </c>
    </row>
    <row r="16" spans="1:25" ht="12" customHeight="1">
      <c r="A16" s="85">
        <f>EOMONTH(A17,0)+1</f>
        <v>41365</v>
      </c>
      <c r="B16" s="337"/>
      <c r="C16" s="581">
        <v>4687.77</v>
      </c>
      <c r="D16" s="582"/>
      <c r="E16" s="588">
        <f t="shared" si="0"/>
        <v>25704.000000000087</v>
      </c>
      <c r="F16" s="589"/>
      <c r="G16" s="590">
        <f>IF(C16="","",E16/DATEDIF($A17,$A16,"d"))</f>
        <v>829.1612903225835</v>
      </c>
      <c r="H16" s="591"/>
      <c r="I16" s="581">
        <v>2422.49</v>
      </c>
      <c r="J16" s="582"/>
      <c r="K16" s="588">
        <f t="shared" si="1"/>
        <v>15017.999999999847</v>
      </c>
      <c r="L16" s="589"/>
      <c r="M16" s="590">
        <f>IF(I16="","",K16/DATEDIF($A17,$A16,"d"))</f>
        <v>484.4516129032209</v>
      </c>
      <c r="N16" s="591"/>
      <c r="O16" s="583">
        <f t="shared" si="3"/>
        <v>40721.999999999935</v>
      </c>
      <c r="P16" s="594"/>
      <c r="Q16" s="595">
        <f t="shared" si="2"/>
        <v>1313.6129032258043</v>
      </c>
      <c r="R16" s="594"/>
      <c r="S16" s="192">
        <f>IF(O16="","",K16/O16)</f>
        <v>0.3687932812730188</v>
      </c>
      <c r="T16" s="148">
        <f ca="1">IF(Q16="","",Q16/INDIRECT("E"&amp;V$3+ROW(T17)-14)/24)</f>
        <v>0.3246374315998923</v>
      </c>
      <c r="U16" s="241">
        <v>41368</v>
      </c>
      <c r="V16" s="257">
        <v>0.4444444444444444</v>
      </c>
      <c r="W16" s="258">
        <v>0.4930555555555556</v>
      </c>
      <c r="X16" s="243" t="s">
        <v>270</v>
      </c>
      <c r="Y16" s="242">
        <v>16</v>
      </c>
    </row>
    <row r="17" spans="1:25" ht="12" customHeight="1">
      <c r="A17" s="85">
        <f>EOMONTH(A18,0)+1</f>
        <v>41334</v>
      </c>
      <c r="B17" s="337"/>
      <c r="C17" s="581">
        <v>4644.93</v>
      </c>
      <c r="D17" s="582"/>
      <c r="E17" s="588">
        <f t="shared" si="0"/>
        <v>33828.000000000065</v>
      </c>
      <c r="F17" s="589"/>
      <c r="G17" s="590">
        <f>IF(C17="","",E17/DATEDIF($A18,$A17,"d"))</f>
        <v>1208.1428571428594</v>
      </c>
      <c r="H17" s="591"/>
      <c r="I17" s="581">
        <v>2397.46</v>
      </c>
      <c r="J17" s="582"/>
      <c r="K17" s="588">
        <f t="shared" si="1"/>
        <v>16650</v>
      </c>
      <c r="L17" s="589"/>
      <c r="M17" s="590">
        <f>IF(I17="","",K17/DATEDIF($A18,$A17,"d"))</f>
        <v>594.6428571428571</v>
      </c>
      <c r="N17" s="591"/>
      <c r="O17" s="583">
        <f t="shared" si="3"/>
        <v>50478.000000000065</v>
      </c>
      <c r="P17" s="594"/>
      <c r="Q17" s="595">
        <f t="shared" si="2"/>
        <v>1802.7857142857167</v>
      </c>
      <c r="R17" s="594"/>
      <c r="S17" s="192">
        <f aca="true" t="shared" si="4" ref="S17:S22">IF(O17="","",K17/O17)</f>
        <v>0.32984666587424183</v>
      </c>
      <c r="T17" s="148">
        <f aca="true" ca="1" t="shared" si="5" ref="T17:T22">IF(Q17="","",Q17/INDIRECT("E"&amp;V$3+ROW(T18)-14)/24)</f>
        <v>0.4118205670426071</v>
      </c>
      <c r="U17" s="241">
        <v>41339</v>
      </c>
      <c r="V17" s="257">
        <v>0.5277777777777778</v>
      </c>
      <c r="W17" s="258">
        <v>0.5694444444444444</v>
      </c>
      <c r="X17" s="243" t="s">
        <v>195</v>
      </c>
      <c r="Y17" s="242">
        <v>15</v>
      </c>
    </row>
    <row r="18" spans="1:25" ht="12" customHeight="1">
      <c r="A18" s="85">
        <f>EOMONTH(A19,0)+1</f>
        <v>41306</v>
      </c>
      <c r="B18" s="337"/>
      <c r="C18" s="581">
        <v>4588.55</v>
      </c>
      <c r="D18" s="582"/>
      <c r="E18" s="588">
        <f t="shared" si="0"/>
        <v>31890.000000000327</v>
      </c>
      <c r="F18" s="589"/>
      <c r="G18" s="590">
        <f>IF(C18="","",E18/DATEDIF($A19,$A18,"d"))</f>
        <v>1028.7096774193653</v>
      </c>
      <c r="H18" s="591"/>
      <c r="I18" s="581">
        <v>2369.71</v>
      </c>
      <c r="J18" s="582"/>
      <c r="K18" s="588">
        <f t="shared" si="1"/>
        <v>25266.000000000076</v>
      </c>
      <c r="L18" s="589"/>
      <c r="M18" s="590">
        <f>IF(I18="","",K18/DATEDIF($A19,$A18,"d"))</f>
        <v>815.0322580645186</v>
      </c>
      <c r="N18" s="591"/>
      <c r="O18" s="583">
        <f t="shared" si="3"/>
        <v>57156.00000000041</v>
      </c>
      <c r="P18" s="594"/>
      <c r="Q18" s="595">
        <f t="shared" si="2"/>
        <v>1843.7419354838842</v>
      </c>
      <c r="R18" s="594"/>
      <c r="S18" s="192">
        <f t="shared" si="4"/>
        <v>0.44205332773461925</v>
      </c>
      <c r="T18" s="148">
        <f ca="1" t="shared" si="5"/>
        <v>0.4103770333609073</v>
      </c>
      <c r="U18" s="241">
        <v>41311</v>
      </c>
      <c r="V18" s="257">
        <v>0.4583333333333333</v>
      </c>
      <c r="W18" s="258">
        <v>0.5069444444444444</v>
      </c>
      <c r="X18" s="243" t="s">
        <v>313</v>
      </c>
      <c r="Y18" s="242">
        <v>1</v>
      </c>
    </row>
    <row r="19" spans="1:25" ht="12" customHeight="1">
      <c r="A19" s="85">
        <f>EOMONTH(A20,0)+1</f>
        <v>41275</v>
      </c>
      <c r="B19" s="337"/>
      <c r="C19" s="581">
        <v>4535.4</v>
      </c>
      <c r="D19" s="582"/>
      <c r="E19" s="588">
        <f t="shared" si="0"/>
        <v>35363.99999999976</v>
      </c>
      <c r="F19" s="589"/>
      <c r="G19" s="590">
        <f aca="true" t="shared" si="6" ref="G19:G24">IF(C19="","",E19/DATEDIF($A20,$A19,"d"))</f>
        <v>1140.7741935483793</v>
      </c>
      <c r="H19" s="591"/>
      <c r="I19" s="581">
        <v>2327.6</v>
      </c>
      <c r="J19" s="582"/>
      <c r="K19" s="588">
        <f t="shared" si="1"/>
        <v>21816.000000000076</v>
      </c>
      <c r="L19" s="589"/>
      <c r="M19" s="590">
        <f aca="true" t="shared" si="7" ref="M19:M24">IF(I19="","",K19/DATEDIF($A20,$A19,"d"))</f>
        <v>703.7419354838735</v>
      </c>
      <c r="N19" s="591"/>
      <c r="O19" s="583">
        <f t="shared" si="3"/>
        <v>57179.99999999984</v>
      </c>
      <c r="P19" s="594"/>
      <c r="Q19" s="595">
        <f t="shared" si="2"/>
        <v>1844.5161290322528</v>
      </c>
      <c r="R19" s="594"/>
      <c r="S19" s="192">
        <f t="shared" si="4"/>
        <v>0.3815320041972742</v>
      </c>
      <c r="T19" s="148">
        <f ca="1" t="shared" si="5"/>
        <v>0.4158811618489026</v>
      </c>
      <c r="U19" s="241">
        <v>41281</v>
      </c>
      <c r="V19" s="257">
        <v>0.4375</v>
      </c>
      <c r="W19" s="258">
        <v>0.4791666666666667</v>
      </c>
      <c r="X19" s="243" t="s">
        <v>270</v>
      </c>
      <c r="Y19" s="242">
        <v>4.2</v>
      </c>
    </row>
    <row r="20" spans="1:25" ht="12" customHeight="1">
      <c r="A20" s="85">
        <f>EOMONTH(A21,0)+1</f>
        <v>41244</v>
      </c>
      <c r="B20" s="337"/>
      <c r="C20" s="581">
        <v>4476.46</v>
      </c>
      <c r="D20" s="582"/>
      <c r="E20" s="588">
        <f aca="true" t="shared" si="8" ref="E20:E25">IF(C20="","",(C20-C21)*600)</f>
        <v>28241.999999999825</v>
      </c>
      <c r="F20" s="589"/>
      <c r="G20" s="590">
        <f t="shared" si="6"/>
        <v>941.3999999999942</v>
      </c>
      <c r="H20" s="591"/>
      <c r="I20" s="581">
        <v>2291.24</v>
      </c>
      <c r="J20" s="582"/>
      <c r="K20" s="588">
        <f aca="true" t="shared" si="9" ref="K20:K25">IF(I20="","",(I20-I21)*600)</f>
        <v>12269.99999999989</v>
      </c>
      <c r="L20" s="589"/>
      <c r="M20" s="590">
        <f t="shared" si="7"/>
        <v>408.99999999999636</v>
      </c>
      <c r="N20" s="591"/>
      <c r="O20" s="583">
        <f t="shared" si="3"/>
        <v>40511.999999999716</v>
      </c>
      <c r="P20" s="594"/>
      <c r="Q20" s="595">
        <f aca="true" t="shared" si="10" ref="Q20:Q25">IF(O20="","",O20/DATEDIF($A21,$A20,"d"))</f>
        <v>1350.3999999999905</v>
      </c>
      <c r="R20" s="594"/>
      <c r="S20" s="192">
        <f t="shared" si="4"/>
        <v>0.3028732227488146</v>
      </c>
      <c r="T20" s="148">
        <f ca="1" t="shared" si="5"/>
        <v>0.3397745571658591</v>
      </c>
      <c r="U20" s="241">
        <v>41250</v>
      </c>
      <c r="V20" s="257">
        <v>0.4930555555555556</v>
      </c>
      <c r="W20" s="258">
        <v>0.5416666666666666</v>
      </c>
      <c r="X20" s="243" t="s">
        <v>271</v>
      </c>
      <c r="Y20" s="242">
        <v>3</v>
      </c>
    </row>
    <row r="21" spans="1:25" ht="12" customHeight="1">
      <c r="A21" s="85">
        <f>EOMONTH(A22,0)+1</f>
        <v>41214</v>
      </c>
      <c r="B21" s="337"/>
      <c r="C21" s="581">
        <v>4429.39</v>
      </c>
      <c r="D21" s="582"/>
      <c r="E21" s="588">
        <f t="shared" si="8"/>
        <v>27858.000000000175</v>
      </c>
      <c r="F21" s="589"/>
      <c r="G21" s="590">
        <f t="shared" si="6"/>
        <v>898.6451612903282</v>
      </c>
      <c r="H21" s="591"/>
      <c r="I21" s="581">
        <v>2270.79</v>
      </c>
      <c r="J21" s="582"/>
      <c r="K21" s="588">
        <f t="shared" si="9"/>
        <v>11088.000000000011</v>
      </c>
      <c r="L21" s="589"/>
      <c r="M21" s="590">
        <f t="shared" si="7"/>
        <v>357.67741935483906</v>
      </c>
      <c r="N21" s="591"/>
      <c r="O21" s="583">
        <f aca="true" t="shared" si="11" ref="O21:O26">IF(I21="","",E21+K21)</f>
        <v>38946.00000000019</v>
      </c>
      <c r="P21" s="594"/>
      <c r="Q21" s="595">
        <f t="shared" si="10"/>
        <v>1256.3225806451674</v>
      </c>
      <c r="R21" s="594"/>
      <c r="S21" s="192">
        <f t="shared" si="4"/>
        <v>0.28470189493144243</v>
      </c>
      <c r="T21" s="148">
        <f ca="1" t="shared" si="5"/>
        <v>0.3912314962148627</v>
      </c>
      <c r="U21" s="241">
        <v>37566</v>
      </c>
      <c r="V21" s="257">
        <v>0.4444444444444444</v>
      </c>
      <c r="W21" s="258">
        <v>0.4895833333333333</v>
      </c>
      <c r="X21" s="243" t="s">
        <v>391</v>
      </c>
      <c r="Y21" s="242">
        <v>16.6</v>
      </c>
    </row>
    <row r="22" spans="1:25" ht="12" customHeight="1">
      <c r="A22" s="85">
        <f>EOMONTH(A23,0)+1</f>
        <v>41183</v>
      </c>
      <c r="B22" s="337"/>
      <c r="C22" s="581">
        <v>4382.96</v>
      </c>
      <c r="D22" s="582"/>
      <c r="E22" s="588">
        <f t="shared" si="8"/>
        <v>29958.000000000175</v>
      </c>
      <c r="F22" s="589"/>
      <c r="G22" s="590">
        <f t="shared" si="6"/>
        <v>998.6000000000058</v>
      </c>
      <c r="H22" s="591"/>
      <c r="I22" s="581">
        <v>2252.31</v>
      </c>
      <c r="J22" s="582"/>
      <c r="K22" s="588">
        <f t="shared" si="9"/>
        <v>19607.9999999999</v>
      </c>
      <c r="L22" s="589"/>
      <c r="M22" s="590">
        <f t="shared" si="7"/>
        <v>653.5999999999967</v>
      </c>
      <c r="N22" s="591"/>
      <c r="O22" s="583">
        <f t="shared" si="11"/>
        <v>49566.00000000007</v>
      </c>
      <c r="P22" s="594"/>
      <c r="Q22" s="595">
        <f t="shared" si="10"/>
        <v>1652.2000000000023</v>
      </c>
      <c r="R22" s="594"/>
      <c r="S22" s="192">
        <f t="shared" si="4"/>
        <v>0.39559375378283246</v>
      </c>
      <c r="T22" s="148">
        <f ca="1" t="shared" si="5"/>
        <v>0.35855034722222273</v>
      </c>
      <c r="U22" s="241">
        <v>41185</v>
      </c>
      <c r="V22" s="257">
        <v>0.4861111111111111</v>
      </c>
      <c r="W22" s="258">
        <v>0.5416666666666666</v>
      </c>
      <c r="X22" s="243" t="s">
        <v>195</v>
      </c>
      <c r="Y22" s="242">
        <v>24</v>
      </c>
    </row>
    <row r="23" spans="1:25" ht="12" customHeight="1">
      <c r="A23" s="85">
        <f>EOMONTH(A24,0)+1</f>
        <v>41153</v>
      </c>
      <c r="B23" s="337"/>
      <c r="C23" s="581">
        <v>4333.03</v>
      </c>
      <c r="D23" s="582"/>
      <c r="E23" s="588">
        <f t="shared" si="8"/>
        <v>45107.99999999963</v>
      </c>
      <c r="F23" s="589"/>
      <c r="G23" s="590">
        <f t="shared" si="6"/>
        <v>1455.0967741935365</v>
      </c>
      <c r="H23" s="591"/>
      <c r="I23" s="581">
        <v>2219.63</v>
      </c>
      <c r="J23" s="582"/>
      <c r="K23" s="588">
        <f t="shared" si="9"/>
        <v>16547.999999999956</v>
      </c>
      <c r="L23" s="589"/>
      <c r="M23" s="590">
        <f t="shared" si="7"/>
        <v>533.8064516129018</v>
      </c>
      <c r="N23" s="591"/>
      <c r="O23" s="583">
        <f t="shared" si="11"/>
        <v>61655.999999999585</v>
      </c>
      <c r="P23" s="594"/>
      <c r="Q23" s="595">
        <f t="shared" si="10"/>
        <v>1988.9032258064383</v>
      </c>
      <c r="R23" s="594"/>
      <c r="S23" s="192">
        <f aca="true" t="shared" si="12" ref="S23:S28">IF(O23="","",K23/O23)</f>
        <v>0.26839237057220816</v>
      </c>
      <c r="T23" s="148">
        <f aca="true" ca="1" t="shared" si="13" ref="T23:T28">IF(Q23="","",Q23/INDIRECT("E"&amp;V$3+ROW(T24)-14)/24)</f>
        <v>0.38366188769414317</v>
      </c>
      <c r="U23" s="241">
        <v>41156</v>
      </c>
      <c r="V23" s="257">
        <v>0.4236111111111111</v>
      </c>
      <c r="W23" s="258">
        <v>0.4791666666666667</v>
      </c>
      <c r="X23" s="243" t="s">
        <v>195</v>
      </c>
      <c r="Y23" s="242">
        <v>26.9</v>
      </c>
    </row>
    <row r="24" spans="1:25" ht="12" customHeight="1">
      <c r="A24" s="85">
        <f>EOMONTH(A25,0)+1</f>
        <v>41122</v>
      </c>
      <c r="B24" s="337"/>
      <c r="C24" s="581">
        <v>4257.85</v>
      </c>
      <c r="D24" s="582"/>
      <c r="E24" s="588">
        <f t="shared" si="8"/>
        <v>37632.00000000015</v>
      </c>
      <c r="F24" s="589"/>
      <c r="G24" s="590">
        <f t="shared" si="6"/>
        <v>1213.9354838709726</v>
      </c>
      <c r="H24" s="591"/>
      <c r="I24" s="581">
        <v>2192.05</v>
      </c>
      <c r="J24" s="582"/>
      <c r="K24" s="588">
        <f t="shared" si="9"/>
        <v>18702.000000000044</v>
      </c>
      <c r="L24" s="589"/>
      <c r="M24" s="590">
        <f t="shared" si="7"/>
        <v>603.2903225806466</v>
      </c>
      <c r="N24" s="591"/>
      <c r="O24" s="583">
        <f t="shared" si="11"/>
        <v>56334.0000000002</v>
      </c>
      <c r="P24" s="594"/>
      <c r="Q24" s="595">
        <f t="shared" si="10"/>
        <v>1817.2258064516193</v>
      </c>
      <c r="R24" s="594"/>
      <c r="S24" s="192">
        <f t="shared" si="12"/>
        <v>0.33198423687293604</v>
      </c>
      <c r="T24" s="148">
        <f ca="1" t="shared" si="13"/>
        <v>0.344798460544099</v>
      </c>
      <c r="U24" s="241">
        <v>41127</v>
      </c>
      <c r="V24" s="257">
        <v>0.513888888888889</v>
      </c>
      <c r="W24" s="258">
        <v>0.5555555555555556</v>
      </c>
      <c r="X24" s="243" t="s">
        <v>357</v>
      </c>
      <c r="Y24" s="242">
        <v>31.4</v>
      </c>
    </row>
    <row r="25" spans="1:25" ht="12" customHeight="1">
      <c r="A25" s="85">
        <f>EOMONTH(A26,0)+1</f>
        <v>41091</v>
      </c>
      <c r="B25" s="337"/>
      <c r="C25" s="581">
        <v>4195.13</v>
      </c>
      <c r="D25" s="582"/>
      <c r="E25" s="588">
        <f t="shared" si="8"/>
        <v>30521.999999999935</v>
      </c>
      <c r="F25" s="589"/>
      <c r="G25" s="590">
        <f aca="true" t="shared" si="14" ref="G25:G30">IF(C25="","",E25/DATEDIF($A26,$A25,"d"))</f>
        <v>1017.3999999999978</v>
      </c>
      <c r="H25" s="591"/>
      <c r="I25" s="581">
        <v>2160.88</v>
      </c>
      <c r="J25" s="582"/>
      <c r="K25" s="588">
        <f t="shared" si="9"/>
        <v>12834.000000000196</v>
      </c>
      <c r="L25" s="589"/>
      <c r="M25" s="590">
        <f aca="true" t="shared" si="15" ref="M25:M30">IF(I25="","",K25/DATEDIF($A26,$A25,"d"))</f>
        <v>427.80000000000655</v>
      </c>
      <c r="N25" s="591"/>
      <c r="O25" s="583">
        <f t="shared" si="11"/>
        <v>43356.00000000013</v>
      </c>
      <c r="P25" s="594"/>
      <c r="Q25" s="595">
        <f t="shared" si="10"/>
        <v>1445.2000000000044</v>
      </c>
      <c r="R25" s="594"/>
      <c r="S25" s="192">
        <f t="shared" si="12"/>
        <v>0.29601439247163386</v>
      </c>
      <c r="T25" s="148">
        <f ca="1" t="shared" si="13"/>
        <v>0.395122484689415</v>
      </c>
      <c r="U25" s="241">
        <v>41094</v>
      </c>
      <c r="V25" s="257">
        <v>0.548611111111111</v>
      </c>
      <c r="W25" s="258">
        <v>0.5972222222222222</v>
      </c>
      <c r="X25" s="243" t="s">
        <v>195</v>
      </c>
      <c r="Y25" s="242">
        <v>31</v>
      </c>
    </row>
    <row r="26" spans="1:25" ht="12" customHeight="1">
      <c r="A26" s="85">
        <f>EOMONTH(A27,0)+1</f>
        <v>41061</v>
      </c>
      <c r="B26" s="337"/>
      <c r="C26" s="581">
        <v>4144.26</v>
      </c>
      <c r="D26" s="582"/>
      <c r="E26" s="588">
        <f aca="true" t="shared" si="16" ref="E26:E31">IF(C26="","",(C26-C27)*600)</f>
        <v>23604.000000000087</v>
      </c>
      <c r="F26" s="589"/>
      <c r="G26" s="590">
        <f t="shared" si="14"/>
        <v>761.4193548387125</v>
      </c>
      <c r="H26" s="591"/>
      <c r="I26" s="581">
        <v>2139.49</v>
      </c>
      <c r="J26" s="582"/>
      <c r="K26" s="588">
        <f aca="true" t="shared" si="17" ref="K26:K31">IF(I26="","",(I26-I27)*600)</f>
        <v>15587.999999999738</v>
      </c>
      <c r="L26" s="589"/>
      <c r="M26" s="590">
        <f t="shared" si="15"/>
        <v>502.8387096774109</v>
      </c>
      <c r="N26" s="591"/>
      <c r="O26" s="583">
        <f t="shared" si="11"/>
        <v>39191.999999999825</v>
      </c>
      <c r="P26" s="594"/>
      <c r="Q26" s="595">
        <f aca="true" t="shared" si="18" ref="Q26:Q31">IF(O26="","",O26/DATEDIF($A27,$A26,"d"))</f>
        <v>1264.2580645161233</v>
      </c>
      <c r="R26" s="594"/>
      <c r="S26" s="192">
        <f t="shared" si="12"/>
        <v>0.3977342314758065</v>
      </c>
      <c r="T26" s="148">
        <f ca="1" t="shared" si="13"/>
        <v>0.4141306553053339</v>
      </c>
      <c r="U26" s="241">
        <v>41067</v>
      </c>
      <c r="V26" s="257">
        <v>0.4583333333333333</v>
      </c>
      <c r="W26" s="258">
        <v>0.5</v>
      </c>
      <c r="X26" s="243" t="s">
        <v>195</v>
      </c>
      <c r="Y26" s="242">
        <v>26.2</v>
      </c>
    </row>
    <row r="27" spans="1:25" ht="12" customHeight="1" hidden="1">
      <c r="A27" s="85">
        <f>EOMONTH(A28,0)+1</f>
        <v>41030</v>
      </c>
      <c r="B27" s="337"/>
      <c r="C27" s="581">
        <v>4104.92</v>
      </c>
      <c r="D27" s="582"/>
      <c r="E27" s="588">
        <f t="shared" si="16"/>
        <v>25092.0000000001</v>
      </c>
      <c r="F27" s="589"/>
      <c r="G27" s="590">
        <f t="shared" si="14"/>
        <v>836.4000000000033</v>
      </c>
      <c r="H27" s="591"/>
      <c r="I27" s="581">
        <v>2113.51</v>
      </c>
      <c r="J27" s="582"/>
      <c r="K27" s="588">
        <f t="shared" si="17"/>
        <v>13014.000000000033</v>
      </c>
      <c r="L27" s="589"/>
      <c r="M27" s="590">
        <f t="shared" si="15"/>
        <v>433.8000000000011</v>
      </c>
      <c r="N27" s="591"/>
      <c r="O27" s="583">
        <f aca="true" t="shared" si="19" ref="O27:O32">IF(I27="","",E27+K27)</f>
        <v>38106.00000000013</v>
      </c>
      <c r="P27" s="594"/>
      <c r="Q27" s="595">
        <f t="shared" si="18"/>
        <v>1270.2000000000044</v>
      </c>
      <c r="R27" s="594"/>
      <c r="S27" s="192">
        <f t="shared" si="12"/>
        <v>0.3415210203117616</v>
      </c>
      <c r="T27" s="148">
        <f ca="1" t="shared" si="13"/>
        <v>0.3600340136054434</v>
      </c>
      <c r="U27" s="241">
        <v>41036</v>
      </c>
      <c r="V27" s="257">
        <v>0.5</v>
      </c>
      <c r="W27" s="258">
        <v>0.548611111111111</v>
      </c>
      <c r="X27" s="243" t="s">
        <v>358</v>
      </c>
      <c r="Y27" s="242">
        <v>26.4</v>
      </c>
    </row>
    <row r="28" spans="1:25" ht="12" customHeight="1" hidden="1">
      <c r="A28" s="85">
        <f>EOMONTH(A29,0)+1</f>
        <v>41000</v>
      </c>
      <c r="B28" s="337"/>
      <c r="C28" s="581">
        <v>4063.1</v>
      </c>
      <c r="D28" s="582"/>
      <c r="E28" s="588">
        <f t="shared" si="16"/>
        <v>33131.99999999988</v>
      </c>
      <c r="F28" s="589"/>
      <c r="G28" s="590">
        <f t="shared" si="14"/>
        <v>1068.7741935483834</v>
      </c>
      <c r="H28" s="591"/>
      <c r="I28" s="581">
        <v>2091.82</v>
      </c>
      <c r="J28" s="582"/>
      <c r="K28" s="588">
        <f t="shared" si="17"/>
        <v>15678.000000000065</v>
      </c>
      <c r="L28" s="589"/>
      <c r="M28" s="590">
        <f t="shared" si="15"/>
        <v>505.7419354838731</v>
      </c>
      <c r="N28" s="591"/>
      <c r="O28" s="583">
        <f t="shared" si="19"/>
        <v>48809.99999999995</v>
      </c>
      <c r="P28" s="594"/>
      <c r="Q28" s="595">
        <f t="shared" si="18"/>
        <v>1574.5161290322565</v>
      </c>
      <c r="R28" s="594"/>
      <c r="S28" s="192">
        <f t="shared" si="12"/>
        <v>0.32120467117394147</v>
      </c>
      <c r="T28" s="148">
        <f ca="1" t="shared" si="13"/>
        <v>0.4064735979533913</v>
      </c>
      <c r="U28" s="241">
        <v>41004</v>
      </c>
      <c r="V28" s="257">
        <v>0.6319444444444444</v>
      </c>
      <c r="W28" s="258">
        <v>0.6805555555555555</v>
      </c>
      <c r="X28" s="243" t="s">
        <v>357</v>
      </c>
      <c r="Y28" s="242">
        <v>8.2</v>
      </c>
    </row>
    <row r="29" spans="1:25" ht="12" customHeight="1" hidden="1">
      <c r="A29" s="85">
        <f>EOMONTH(A30,0)+1</f>
        <v>40969</v>
      </c>
      <c r="B29" s="337"/>
      <c r="C29" s="581">
        <v>4007.88</v>
      </c>
      <c r="D29" s="582"/>
      <c r="E29" s="588">
        <f t="shared" si="16"/>
        <v>41550</v>
      </c>
      <c r="F29" s="589"/>
      <c r="G29" s="590">
        <f t="shared" si="14"/>
        <v>1432.7586206896551</v>
      </c>
      <c r="H29" s="591"/>
      <c r="I29" s="581">
        <v>2065.69</v>
      </c>
      <c r="J29" s="582"/>
      <c r="K29" s="588">
        <f t="shared" si="17"/>
        <v>16734.00000000006</v>
      </c>
      <c r="L29" s="589"/>
      <c r="M29" s="590">
        <f t="shared" si="15"/>
        <v>577.0344827586227</v>
      </c>
      <c r="N29" s="591"/>
      <c r="O29" s="583">
        <f t="shared" si="19"/>
        <v>58284.00000000006</v>
      </c>
      <c r="P29" s="594"/>
      <c r="Q29" s="595">
        <f t="shared" si="18"/>
        <v>2009.7931034482779</v>
      </c>
      <c r="R29" s="594"/>
      <c r="S29" s="192">
        <f aca="true" t="shared" si="20" ref="S29:S34">IF(O29="","",K29/O29)</f>
        <v>0.2871113856289898</v>
      </c>
      <c r="T29" s="148">
        <f aca="true" ca="1" t="shared" si="21" ref="T29:T34">IF(Q29="","",Q29/INDIRECT("E"&amp;V$3+ROW(T30)-14)/24)</f>
        <v>0.4092931540095059</v>
      </c>
      <c r="U29" s="241">
        <v>40975</v>
      </c>
      <c r="V29" s="257">
        <v>0.4583333333333333</v>
      </c>
      <c r="W29" s="258">
        <v>0.5</v>
      </c>
      <c r="X29" s="243" t="s">
        <v>195</v>
      </c>
      <c r="Y29" s="242">
        <v>11.5</v>
      </c>
    </row>
    <row r="30" spans="1:25" ht="12" customHeight="1" hidden="1">
      <c r="A30" s="85">
        <f>EOMONTH(A31,0)+1</f>
        <v>40940</v>
      </c>
      <c r="B30" s="337"/>
      <c r="C30" s="581">
        <v>3938.63</v>
      </c>
      <c r="D30" s="582"/>
      <c r="E30" s="588">
        <f t="shared" si="16"/>
        <v>36011.999999999985</v>
      </c>
      <c r="F30" s="589"/>
      <c r="G30" s="590">
        <f t="shared" si="14"/>
        <v>1161.6774193548383</v>
      </c>
      <c r="H30" s="591"/>
      <c r="I30" s="581">
        <v>2037.8</v>
      </c>
      <c r="J30" s="582"/>
      <c r="K30" s="588">
        <f t="shared" si="17"/>
        <v>25170.00000000003</v>
      </c>
      <c r="L30" s="589"/>
      <c r="M30" s="590">
        <f t="shared" si="15"/>
        <v>811.9354838709687</v>
      </c>
      <c r="N30" s="591"/>
      <c r="O30" s="583">
        <f t="shared" si="19"/>
        <v>61182.000000000015</v>
      </c>
      <c r="P30" s="594"/>
      <c r="Q30" s="595">
        <f t="shared" si="18"/>
        <v>1973.612903225807</v>
      </c>
      <c r="R30" s="594"/>
      <c r="S30" s="192">
        <f t="shared" si="20"/>
        <v>0.41139550848288753</v>
      </c>
      <c r="T30" s="148">
        <f ca="1" t="shared" si="21"/>
        <v>0.4191328795501628</v>
      </c>
      <c r="U30" s="241">
        <v>40946</v>
      </c>
      <c r="V30" s="257">
        <v>0.5694444444444444</v>
      </c>
      <c r="W30" s="258">
        <v>0.6180555555555556</v>
      </c>
      <c r="X30" s="243" t="s">
        <v>352</v>
      </c>
      <c r="Y30" s="242">
        <v>6</v>
      </c>
    </row>
    <row r="31" spans="1:25" ht="12" customHeight="1" hidden="1">
      <c r="A31" s="85">
        <f>EOMONTH(A32,0)+1</f>
        <v>40909</v>
      </c>
      <c r="B31" s="337"/>
      <c r="C31" s="581">
        <v>3878.61</v>
      </c>
      <c r="D31" s="582"/>
      <c r="E31" s="588">
        <f t="shared" si="16"/>
        <v>36954.00000000009</v>
      </c>
      <c r="F31" s="589"/>
      <c r="G31" s="590">
        <f aca="true" t="shared" si="22" ref="G31:G36">IF(C31="","",E31/DATEDIF($A32,$A31,"d"))</f>
        <v>1192.0645161290352</v>
      </c>
      <c r="H31" s="591"/>
      <c r="I31" s="581">
        <v>1995.85</v>
      </c>
      <c r="J31" s="582"/>
      <c r="K31" s="588">
        <f t="shared" si="17"/>
        <v>20100</v>
      </c>
      <c r="L31" s="589"/>
      <c r="M31" s="590">
        <f aca="true" t="shared" si="23" ref="M31:M36">IF(I31="","",K31/DATEDIF($A32,$A31,"d"))</f>
        <v>648.3870967741935</v>
      </c>
      <c r="N31" s="591"/>
      <c r="O31" s="583">
        <f t="shared" si="19"/>
        <v>57054.00000000009</v>
      </c>
      <c r="P31" s="594"/>
      <c r="Q31" s="595">
        <f t="shared" si="18"/>
        <v>1840.4516129032286</v>
      </c>
      <c r="R31" s="594"/>
      <c r="S31" s="192">
        <f t="shared" si="20"/>
        <v>0.3522978231149432</v>
      </c>
      <c r="T31" s="148">
        <f ca="1" t="shared" si="21"/>
        <v>0.3672676430601909</v>
      </c>
      <c r="U31" s="241">
        <v>40913</v>
      </c>
      <c r="V31" s="257">
        <v>0.5625</v>
      </c>
      <c r="W31" s="258">
        <v>0.625</v>
      </c>
      <c r="X31" s="243" t="s">
        <v>313</v>
      </c>
      <c r="Y31" s="242">
        <v>0.4</v>
      </c>
    </row>
    <row r="32" spans="1:25" ht="12" customHeight="1" hidden="1">
      <c r="A32" s="85">
        <f>EOMONTH(A33,0)+1</f>
        <v>40878</v>
      </c>
      <c r="B32" s="337"/>
      <c r="C32" s="581">
        <v>3817.02</v>
      </c>
      <c r="D32" s="582"/>
      <c r="E32" s="588">
        <f aca="true" t="shared" si="24" ref="E32:E37">IF(C32="","",(C32-C33)*600)</f>
        <v>30155.999999999858</v>
      </c>
      <c r="F32" s="589"/>
      <c r="G32" s="590">
        <f t="shared" si="22"/>
        <v>1005.1999999999953</v>
      </c>
      <c r="H32" s="591"/>
      <c r="I32" s="581">
        <v>1962.35</v>
      </c>
      <c r="J32" s="582"/>
      <c r="K32" s="588">
        <f aca="true" t="shared" si="25" ref="K32:K37">IF(I32="","",(I32-I33)*600)</f>
        <v>15935.999999999967</v>
      </c>
      <c r="L32" s="589"/>
      <c r="M32" s="590">
        <f t="shared" si="23"/>
        <v>531.1999999999989</v>
      </c>
      <c r="N32" s="591"/>
      <c r="O32" s="583">
        <f t="shared" si="19"/>
        <v>46091.999999999825</v>
      </c>
      <c r="P32" s="594"/>
      <c r="Q32" s="595">
        <f aca="true" t="shared" si="26" ref="Q32:Q37">IF(O32="","",O32/DATEDIF($A33,$A32,"d"))</f>
        <v>1536.3999999999942</v>
      </c>
      <c r="R32" s="594"/>
      <c r="S32" s="192">
        <f t="shared" si="20"/>
        <v>0.3457432960166629</v>
      </c>
      <c r="T32" s="148">
        <f ca="1" t="shared" si="21"/>
        <v>0.420056867891512</v>
      </c>
      <c r="U32" s="241">
        <v>40885</v>
      </c>
      <c r="V32" s="257">
        <v>0.47222222222222227</v>
      </c>
      <c r="W32" s="258">
        <v>0.5277777777777778</v>
      </c>
      <c r="X32" s="243" t="s">
        <v>350</v>
      </c>
      <c r="Y32" s="242">
        <v>7.9</v>
      </c>
    </row>
    <row r="33" spans="1:25" ht="12" customHeight="1" hidden="1">
      <c r="A33" s="85">
        <f>EOMONTH(A34,0)+1</f>
        <v>40848</v>
      </c>
      <c r="B33" s="337"/>
      <c r="C33" s="581">
        <v>3766.76</v>
      </c>
      <c r="D33" s="582"/>
      <c r="E33" s="588">
        <f t="shared" si="24"/>
        <v>31326.000000000022</v>
      </c>
      <c r="F33" s="589"/>
      <c r="G33" s="590">
        <f t="shared" si="22"/>
        <v>1010.5161290322587</v>
      </c>
      <c r="H33" s="591"/>
      <c r="I33" s="581">
        <v>1935.79</v>
      </c>
      <c r="J33" s="582"/>
      <c r="K33" s="588">
        <f t="shared" si="25"/>
        <v>19020.00000000003</v>
      </c>
      <c r="L33" s="589"/>
      <c r="M33" s="590">
        <f t="shared" si="23"/>
        <v>613.5483870967752</v>
      </c>
      <c r="N33" s="591"/>
      <c r="O33" s="583">
        <f aca="true" t="shared" si="27" ref="O33:O38">IF(I33="","",E33+K33)</f>
        <v>50346.00000000005</v>
      </c>
      <c r="P33" s="594"/>
      <c r="Q33" s="595">
        <f t="shared" si="26"/>
        <v>1624.0645161290338</v>
      </c>
      <c r="R33" s="594"/>
      <c r="S33" s="192">
        <f t="shared" si="20"/>
        <v>0.3777857227982364</v>
      </c>
      <c r="T33" s="148">
        <f ca="1" t="shared" si="21"/>
        <v>0.4161706939650045</v>
      </c>
      <c r="U33" s="241">
        <v>40854</v>
      </c>
      <c r="V33" s="257">
        <v>0.5555555555555556</v>
      </c>
      <c r="W33" s="258">
        <v>0.6041666666666666</v>
      </c>
      <c r="X33" s="243" t="s">
        <v>271</v>
      </c>
      <c r="Y33" s="242">
        <v>13</v>
      </c>
    </row>
    <row r="34" spans="1:25" ht="12" customHeight="1" hidden="1">
      <c r="A34" s="85">
        <f>EOMONTH(A35,0)+1</f>
        <v>40817</v>
      </c>
      <c r="B34" s="337"/>
      <c r="C34" s="581">
        <v>3714.55</v>
      </c>
      <c r="D34" s="582"/>
      <c r="E34" s="588">
        <f t="shared" si="24"/>
        <v>41394.000000000146</v>
      </c>
      <c r="F34" s="589"/>
      <c r="G34" s="590">
        <f t="shared" si="22"/>
        <v>1379.800000000005</v>
      </c>
      <c r="H34" s="591"/>
      <c r="I34" s="581">
        <v>1904.09</v>
      </c>
      <c r="J34" s="582"/>
      <c r="K34" s="588">
        <f t="shared" si="25"/>
        <v>20345.999999999913</v>
      </c>
      <c r="L34" s="589"/>
      <c r="M34" s="590">
        <f t="shared" si="23"/>
        <v>678.1999999999971</v>
      </c>
      <c r="N34" s="591"/>
      <c r="O34" s="583">
        <f t="shared" si="27"/>
        <v>61740.00000000006</v>
      </c>
      <c r="P34" s="594"/>
      <c r="Q34" s="595">
        <f t="shared" si="26"/>
        <v>2058.000000000002</v>
      </c>
      <c r="R34" s="594"/>
      <c r="S34" s="192">
        <f t="shared" si="20"/>
        <v>0.32954324586977474</v>
      </c>
      <c r="T34" s="148">
        <f ca="1" t="shared" si="21"/>
        <v>0.42408506429277976</v>
      </c>
      <c r="U34" s="241">
        <v>40820</v>
      </c>
      <c r="V34" s="257">
        <v>0.4513888888888889</v>
      </c>
      <c r="W34" s="258">
        <v>0.4930555555555556</v>
      </c>
      <c r="X34" s="243" t="s">
        <v>270</v>
      </c>
      <c r="Y34" s="242">
        <v>20.5</v>
      </c>
    </row>
    <row r="35" spans="1:25" ht="12" customHeight="1" hidden="1">
      <c r="A35" s="85">
        <f>EOMONTH(A36,0)+1</f>
        <v>40787</v>
      </c>
      <c r="B35" s="337"/>
      <c r="C35" s="581">
        <v>3645.56</v>
      </c>
      <c r="D35" s="582"/>
      <c r="E35" s="588">
        <f t="shared" si="24"/>
        <v>52397.999999999956</v>
      </c>
      <c r="F35" s="589"/>
      <c r="G35" s="590">
        <f t="shared" si="22"/>
        <v>1690.2580645161277</v>
      </c>
      <c r="H35" s="591"/>
      <c r="I35" s="581">
        <v>1870.18</v>
      </c>
      <c r="J35" s="582"/>
      <c r="K35" s="588">
        <f t="shared" si="25"/>
        <v>18054.000000000087</v>
      </c>
      <c r="L35" s="589"/>
      <c r="M35" s="590">
        <f t="shared" si="23"/>
        <v>582.3870967741964</v>
      </c>
      <c r="N35" s="591"/>
      <c r="O35" s="583">
        <f t="shared" si="27"/>
        <v>70452.00000000004</v>
      </c>
      <c r="P35" s="594"/>
      <c r="Q35" s="595">
        <f t="shared" si="26"/>
        <v>2272.645161290324</v>
      </c>
      <c r="R35" s="594"/>
      <c r="S35" s="192">
        <f aca="true" t="shared" si="28" ref="S35:S40">IF(O35="","",K35/O35)</f>
        <v>0.2562595809913143</v>
      </c>
      <c r="T35" s="148">
        <f aca="true" ca="1" t="shared" si="29" ref="T35:T40">IF(Q35="","",Q35/INDIRECT("E"&amp;V$3+ROW(T36)-14)/24)</f>
        <v>0.42198550974642074</v>
      </c>
      <c r="U35" s="241">
        <v>40794</v>
      </c>
      <c r="V35" s="257">
        <v>0.6458333333333334</v>
      </c>
      <c r="W35" s="258">
        <v>0.6944444444444445</v>
      </c>
      <c r="X35" s="243" t="s">
        <v>270</v>
      </c>
      <c r="Y35" s="242">
        <v>30.5</v>
      </c>
    </row>
    <row r="36" spans="1:25" ht="12" customHeight="1" hidden="1">
      <c r="A36" s="85">
        <f>EOMONTH(A37,0)+1</f>
        <v>40756</v>
      </c>
      <c r="B36" s="337"/>
      <c r="C36" s="581">
        <v>3558.23</v>
      </c>
      <c r="D36" s="582"/>
      <c r="E36" s="588">
        <f t="shared" si="24"/>
        <v>46085.99999999997</v>
      </c>
      <c r="F36" s="589"/>
      <c r="G36" s="590">
        <f t="shared" si="22"/>
        <v>1486.6451612903215</v>
      </c>
      <c r="H36" s="591"/>
      <c r="I36" s="581">
        <v>1840.09</v>
      </c>
      <c r="J36" s="582"/>
      <c r="K36" s="588">
        <f t="shared" si="25"/>
        <v>26495.999999999913</v>
      </c>
      <c r="L36" s="589"/>
      <c r="M36" s="590">
        <f t="shared" si="23"/>
        <v>854.709677419352</v>
      </c>
      <c r="N36" s="591"/>
      <c r="O36" s="583">
        <f t="shared" si="27"/>
        <v>72581.99999999988</v>
      </c>
      <c r="P36" s="594"/>
      <c r="Q36" s="595">
        <f t="shared" si="26"/>
        <v>2341.3548387096735</v>
      </c>
      <c r="R36" s="594"/>
      <c r="S36" s="192">
        <f t="shared" si="28"/>
        <v>0.36504918574853207</v>
      </c>
      <c r="T36" s="148">
        <f ca="1" t="shared" si="29"/>
        <v>0.42122820212825157</v>
      </c>
      <c r="U36" s="241">
        <v>40760</v>
      </c>
      <c r="V36" s="257">
        <v>5.576388888888889</v>
      </c>
      <c r="W36" s="258">
        <v>0.6180555555555556</v>
      </c>
      <c r="X36" s="243" t="s">
        <v>195</v>
      </c>
      <c r="Y36" s="242">
        <v>36</v>
      </c>
    </row>
    <row r="37" spans="1:25" ht="12" customHeight="1" hidden="1">
      <c r="A37" s="85">
        <f>EOMONTH(A38,0)+1</f>
        <v>40725</v>
      </c>
      <c r="B37" s="337"/>
      <c r="C37" s="581">
        <v>3481.42</v>
      </c>
      <c r="D37" s="582"/>
      <c r="E37" s="588">
        <f t="shared" si="24"/>
        <v>47628.000000000065</v>
      </c>
      <c r="F37" s="589"/>
      <c r="G37" s="590">
        <f aca="true" t="shared" si="30" ref="G37:G42">IF(C37="","",E37/DATEDIF($A38,$A37,"d"))</f>
        <v>1587.6000000000022</v>
      </c>
      <c r="H37" s="591"/>
      <c r="I37" s="581">
        <v>1795.93</v>
      </c>
      <c r="J37" s="582"/>
      <c r="K37" s="588">
        <f t="shared" si="25"/>
        <v>17604.000000000087</v>
      </c>
      <c r="L37" s="589"/>
      <c r="M37" s="590">
        <f aca="true" t="shared" si="31" ref="M37:M42">IF(I37="","",K37/DATEDIF($A38,$A37,"d"))</f>
        <v>586.8000000000029</v>
      </c>
      <c r="N37" s="591"/>
      <c r="O37" s="583">
        <f t="shared" si="27"/>
        <v>65232.00000000015</v>
      </c>
      <c r="P37" s="594"/>
      <c r="Q37" s="595">
        <f t="shared" si="26"/>
        <v>2174.400000000005</v>
      </c>
      <c r="R37" s="594"/>
      <c r="S37" s="192">
        <f t="shared" si="28"/>
        <v>0.2698675496688749</v>
      </c>
      <c r="T37" s="148">
        <f ca="1" t="shared" si="29"/>
        <v>0.40921409214092236</v>
      </c>
      <c r="U37" s="241">
        <v>40731</v>
      </c>
      <c r="V37" s="257">
        <v>0.4583333333333333</v>
      </c>
      <c r="W37" s="258">
        <v>0.5069444444444444</v>
      </c>
      <c r="X37" s="243" t="s">
        <v>347</v>
      </c>
      <c r="Y37" s="242">
        <v>29</v>
      </c>
    </row>
    <row r="38" spans="1:25" ht="12" customHeight="1" hidden="1">
      <c r="A38" s="85">
        <f>EOMONTH(A39,0)+1</f>
        <v>40695</v>
      </c>
      <c r="B38" s="337"/>
      <c r="C38" s="581">
        <v>3402.04</v>
      </c>
      <c r="D38" s="582"/>
      <c r="E38" s="588">
        <f aca="true" t="shared" si="32" ref="E38:E43">IF(C38="","",(C38-C39)*600)</f>
        <v>32352.000000000044</v>
      </c>
      <c r="F38" s="589"/>
      <c r="G38" s="590">
        <f t="shared" si="30"/>
        <v>1043.612903225808</v>
      </c>
      <c r="H38" s="591"/>
      <c r="I38" s="581">
        <v>1766.59</v>
      </c>
      <c r="J38" s="582"/>
      <c r="K38" s="588">
        <f aca="true" t="shared" si="33" ref="K38:K43">IF(I38="","",(I38-I39)*600)</f>
        <v>22025.999999999884</v>
      </c>
      <c r="L38" s="589"/>
      <c r="M38" s="590">
        <f t="shared" si="31"/>
        <v>710.5161290322543</v>
      </c>
      <c r="N38" s="591"/>
      <c r="O38" s="583">
        <f t="shared" si="27"/>
        <v>54377.99999999993</v>
      </c>
      <c r="P38" s="594"/>
      <c r="Q38" s="595">
        <f aca="true" t="shared" si="34" ref="Q38:Q43">IF(O38="","",O38/DATEDIF($A39,$A38,"d"))</f>
        <v>1754.1290322580621</v>
      </c>
      <c r="R38" s="594"/>
      <c r="S38" s="192">
        <f t="shared" si="28"/>
        <v>0.4050535142888652</v>
      </c>
      <c r="T38" s="148">
        <f ca="1" t="shared" si="29"/>
        <v>0.3725214560520859</v>
      </c>
      <c r="U38" s="241">
        <v>40700</v>
      </c>
      <c r="V38" s="257">
        <v>0.4375</v>
      </c>
      <c r="W38" s="258">
        <v>0.4930555555555556</v>
      </c>
      <c r="X38" s="243" t="s">
        <v>270</v>
      </c>
      <c r="Y38" s="242">
        <v>27</v>
      </c>
    </row>
    <row r="39" spans="1:25" ht="12" customHeight="1" hidden="1">
      <c r="A39" s="85">
        <f>EOMONTH(A40,0)+1</f>
        <v>40664</v>
      </c>
      <c r="B39" s="337"/>
      <c r="C39" s="581">
        <v>3348.12</v>
      </c>
      <c r="D39" s="582"/>
      <c r="E39" s="588">
        <f t="shared" si="32"/>
        <v>30276.000000000022</v>
      </c>
      <c r="F39" s="589"/>
      <c r="G39" s="590">
        <f t="shared" si="30"/>
        <v>1009.2000000000007</v>
      </c>
      <c r="H39" s="591"/>
      <c r="I39" s="581">
        <v>1729.88</v>
      </c>
      <c r="J39" s="582"/>
      <c r="K39" s="588">
        <f t="shared" si="33"/>
        <v>15030.00000000011</v>
      </c>
      <c r="L39" s="589"/>
      <c r="M39" s="590">
        <f t="shared" si="31"/>
        <v>501.00000000000364</v>
      </c>
      <c r="N39" s="591"/>
      <c r="O39" s="583">
        <f aca="true" t="shared" si="35" ref="O39:O44">IF(I39="","",E39+K39)</f>
        <v>45306.00000000013</v>
      </c>
      <c r="P39" s="594"/>
      <c r="Q39" s="595">
        <f t="shared" si="34"/>
        <v>1510.2000000000044</v>
      </c>
      <c r="R39" s="594"/>
      <c r="S39" s="192">
        <f t="shared" si="28"/>
        <v>0.33174413984902806</v>
      </c>
      <c r="T39" s="148">
        <f ca="1" t="shared" si="29"/>
        <v>0.4178286852589654</v>
      </c>
      <c r="U39" s="241">
        <v>40669</v>
      </c>
      <c r="V39" s="257">
        <v>0.4791666666666667</v>
      </c>
      <c r="W39" s="258">
        <v>0.5416666666666666</v>
      </c>
      <c r="X39" s="243" t="s">
        <v>270</v>
      </c>
      <c r="Y39" s="242">
        <v>19.2</v>
      </c>
    </row>
    <row r="40" spans="1:25" ht="12" customHeight="1" hidden="1">
      <c r="A40" s="85">
        <f>EOMONTH(A41,0)+1</f>
        <v>40634</v>
      </c>
      <c r="B40" s="337"/>
      <c r="C40" s="581">
        <v>3297.66</v>
      </c>
      <c r="D40" s="582"/>
      <c r="E40" s="588">
        <f t="shared" si="32"/>
        <v>35688.000000000015</v>
      </c>
      <c r="F40" s="589"/>
      <c r="G40" s="590">
        <f t="shared" si="30"/>
        <v>1151.2258064516134</v>
      </c>
      <c r="H40" s="591"/>
      <c r="I40" s="581">
        <v>1704.83</v>
      </c>
      <c r="J40" s="582"/>
      <c r="K40" s="588">
        <f t="shared" si="33"/>
        <v>13823.999999999978</v>
      </c>
      <c r="L40" s="589"/>
      <c r="M40" s="590">
        <f t="shared" si="31"/>
        <v>445.93548387096706</v>
      </c>
      <c r="N40" s="591"/>
      <c r="O40" s="583">
        <f t="shared" si="35"/>
        <v>49511.99999999999</v>
      </c>
      <c r="P40" s="594"/>
      <c r="Q40" s="595">
        <f t="shared" si="34"/>
        <v>1597.1612903225805</v>
      </c>
      <c r="R40" s="594"/>
      <c r="S40" s="192">
        <f t="shared" si="28"/>
        <v>0.2792050412021324</v>
      </c>
      <c r="T40" s="148">
        <f ca="1" t="shared" si="29"/>
        <v>0.30470873212808697</v>
      </c>
      <c r="U40" s="241">
        <v>40639</v>
      </c>
      <c r="V40" s="257">
        <v>0.5208333333333334</v>
      </c>
      <c r="W40" s="258">
        <v>0.576388888888889</v>
      </c>
      <c r="X40" s="243" t="s">
        <v>270</v>
      </c>
      <c r="Y40" s="242">
        <v>22</v>
      </c>
    </row>
    <row r="41" spans="1:25" ht="12" customHeight="1" hidden="1">
      <c r="A41" s="85">
        <f>EOMONTH(A42,0)+1</f>
        <v>40603</v>
      </c>
      <c r="B41" s="337"/>
      <c r="C41" s="581">
        <v>3238.18</v>
      </c>
      <c r="D41" s="582"/>
      <c r="E41" s="588">
        <f t="shared" si="32"/>
        <v>35879.99999999984</v>
      </c>
      <c r="F41" s="589"/>
      <c r="G41" s="590">
        <f t="shared" si="30"/>
        <v>1281.4285714285656</v>
      </c>
      <c r="H41" s="591"/>
      <c r="I41" s="581">
        <v>1681.79</v>
      </c>
      <c r="J41" s="582"/>
      <c r="K41" s="588">
        <f t="shared" si="33"/>
        <v>17423.999999999978</v>
      </c>
      <c r="L41" s="589"/>
      <c r="M41" s="590">
        <f t="shared" si="31"/>
        <v>622.2857142857135</v>
      </c>
      <c r="N41" s="591"/>
      <c r="O41" s="583">
        <f t="shared" si="35"/>
        <v>53303.99999999982</v>
      </c>
      <c r="P41" s="594"/>
      <c r="Q41" s="595">
        <f t="shared" si="34"/>
        <v>1903.7142857142792</v>
      </c>
      <c r="R41" s="594"/>
      <c r="S41" s="192">
        <f aca="true" t="shared" si="36" ref="S41:S46">IF(O41="","",K41/O41)</f>
        <v>0.3268797838811353</v>
      </c>
      <c r="T41" s="148">
        <f aca="true" ca="1" t="shared" si="37" ref="T41:T46">IF(Q41="","",Q41/INDIRECT("E"&amp;V$3+ROW(T42)-14)/24)</f>
        <v>0.36419388692115845</v>
      </c>
      <c r="U41" s="241">
        <v>40609</v>
      </c>
      <c r="V41" s="257">
        <v>0.548611111111111</v>
      </c>
      <c r="W41" s="258">
        <v>0.5972222222222222</v>
      </c>
      <c r="X41" s="243" t="s">
        <v>340</v>
      </c>
      <c r="Y41" s="242">
        <v>9.3</v>
      </c>
    </row>
    <row r="42" spans="1:25" ht="12" customHeight="1" hidden="1">
      <c r="A42" s="85">
        <f>EOMONTH(A43,0)+1</f>
        <v>40575</v>
      </c>
      <c r="B42" s="337"/>
      <c r="C42" s="581">
        <v>3178.38</v>
      </c>
      <c r="D42" s="582"/>
      <c r="E42" s="588">
        <f t="shared" si="32"/>
        <v>41526.00000000002</v>
      </c>
      <c r="F42" s="589"/>
      <c r="G42" s="590">
        <f t="shared" si="30"/>
        <v>1339.5483870967748</v>
      </c>
      <c r="H42" s="591"/>
      <c r="I42" s="581">
        <v>1652.75</v>
      </c>
      <c r="J42" s="582"/>
      <c r="K42" s="588">
        <f t="shared" si="33"/>
        <v>29117.999999999985</v>
      </c>
      <c r="L42" s="589"/>
      <c r="M42" s="590">
        <f t="shared" si="31"/>
        <v>939.2903225806447</v>
      </c>
      <c r="N42" s="591"/>
      <c r="O42" s="583">
        <f t="shared" si="35"/>
        <v>70644</v>
      </c>
      <c r="P42" s="594"/>
      <c r="Q42" s="595">
        <f t="shared" si="34"/>
        <v>2278.8387096774195</v>
      </c>
      <c r="R42" s="594"/>
      <c r="S42" s="192">
        <f t="shared" si="36"/>
        <v>0.4121793782911498</v>
      </c>
      <c r="T42" s="148">
        <f ca="1" t="shared" si="37"/>
        <v>0.3966232786266742</v>
      </c>
      <c r="U42" s="241">
        <v>40578</v>
      </c>
      <c r="V42" s="257">
        <v>0.548611111111111</v>
      </c>
      <c r="W42" s="258">
        <v>0.5972222222222222</v>
      </c>
      <c r="X42" s="243" t="s">
        <v>270</v>
      </c>
      <c r="Y42" s="242">
        <v>11.5</v>
      </c>
    </row>
    <row r="43" spans="1:25" ht="12" customHeight="1" hidden="1">
      <c r="A43" s="85">
        <f>EOMONTH(A44,0)+1</f>
        <v>40544</v>
      </c>
      <c r="B43" s="337"/>
      <c r="C43" s="581">
        <v>3109.17</v>
      </c>
      <c r="D43" s="582"/>
      <c r="E43" s="588">
        <f t="shared" si="32"/>
        <v>36185.99999999997</v>
      </c>
      <c r="F43" s="589"/>
      <c r="G43" s="590">
        <f aca="true" t="shared" si="38" ref="G43:G48">IF(C43="","",E43/DATEDIF($A44,$A43,"d"))</f>
        <v>1167.2903225806442</v>
      </c>
      <c r="H43" s="591"/>
      <c r="I43" s="581">
        <v>1604.22</v>
      </c>
      <c r="J43" s="582"/>
      <c r="K43" s="588">
        <f t="shared" si="33"/>
        <v>21132.000000000015</v>
      </c>
      <c r="L43" s="589"/>
      <c r="M43" s="590">
        <f aca="true" t="shared" si="39" ref="M43:M48">IF(I43="","",K43/DATEDIF($A44,$A43,"d"))</f>
        <v>681.6774193548392</v>
      </c>
      <c r="N43" s="591"/>
      <c r="O43" s="583">
        <f t="shared" si="35"/>
        <v>57317.999999999985</v>
      </c>
      <c r="P43" s="594"/>
      <c r="Q43" s="595">
        <f t="shared" si="34"/>
        <v>1848.9677419354834</v>
      </c>
      <c r="R43" s="594"/>
      <c r="S43" s="192">
        <f t="shared" si="36"/>
        <v>0.368679995812834</v>
      </c>
      <c r="T43" s="148">
        <f ca="1" t="shared" si="37"/>
        <v>0.36271338314804685</v>
      </c>
      <c r="U43" s="241">
        <v>40550</v>
      </c>
      <c r="V43" s="257">
        <v>0.4895833333333333</v>
      </c>
      <c r="W43" s="258">
        <v>0.5416666666666666</v>
      </c>
      <c r="X43" s="243" t="s">
        <v>313</v>
      </c>
      <c r="Y43" s="242">
        <v>2.8</v>
      </c>
    </row>
    <row r="44" spans="1:25" ht="12" customHeight="1" hidden="1">
      <c r="A44" s="85">
        <f>EOMONTH(A45,0)+1</f>
        <v>40513</v>
      </c>
      <c r="B44" s="337"/>
      <c r="C44" s="581">
        <v>3048.86</v>
      </c>
      <c r="D44" s="582"/>
      <c r="E44" s="588">
        <f aca="true" t="shared" si="40" ref="E44:E49">IF(C44="","",(C44-C45)*600)</f>
        <v>32532.000000000153</v>
      </c>
      <c r="F44" s="589"/>
      <c r="G44" s="590">
        <f t="shared" si="38"/>
        <v>1084.400000000005</v>
      </c>
      <c r="H44" s="591"/>
      <c r="I44" s="581">
        <v>1569</v>
      </c>
      <c r="J44" s="582"/>
      <c r="K44" s="588">
        <f aca="true" t="shared" si="41" ref="K44:K49">IF(I44="","",(I44-I45)*600)</f>
        <v>17009.999999999945</v>
      </c>
      <c r="L44" s="589"/>
      <c r="M44" s="590">
        <f t="shared" si="39"/>
        <v>566.9999999999982</v>
      </c>
      <c r="N44" s="591"/>
      <c r="O44" s="583">
        <f t="shared" si="35"/>
        <v>49542.0000000001</v>
      </c>
      <c r="P44" s="594"/>
      <c r="Q44" s="595">
        <f aca="true" t="shared" si="42" ref="Q44:Q49">IF(O44="","",O44/DATEDIF($A45,$A44,"d"))</f>
        <v>1651.4000000000035</v>
      </c>
      <c r="R44" s="594"/>
      <c r="S44" s="192">
        <f t="shared" si="36"/>
        <v>0.3433450405716344</v>
      </c>
      <c r="T44" s="148">
        <f ca="1" t="shared" si="37"/>
        <v>0.39958381726674497</v>
      </c>
      <c r="U44" s="241">
        <v>40518</v>
      </c>
      <c r="V44" s="257">
        <v>0.5</v>
      </c>
      <c r="W44" s="258">
        <v>0.5520833333333334</v>
      </c>
      <c r="X44" s="243" t="s">
        <v>270</v>
      </c>
      <c r="Y44" s="242">
        <v>19</v>
      </c>
    </row>
    <row r="45" spans="1:25" ht="12" customHeight="1" hidden="1">
      <c r="A45" s="85">
        <f>EOMONTH(A46,0)+1</f>
        <v>40483</v>
      </c>
      <c r="B45" s="337"/>
      <c r="C45" s="581">
        <v>2994.64</v>
      </c>
      <c r="D45" s="582"/>
      <c r="E45" s="588">
        <f t="shared" si="40"/>
        <v>40343.99999999987</v>
      </c>
      <c r="F45" s="589"/>
      <c r="G45" s="590">
        <f t="shared" si="38"/>
        <v>1301.4193548387054</v>
      </c>
      <c r="H45" s="591"/>
      <c r="I45" s="581">
        <v>1540.65</v>
      </c>
      <c r="J45" s="582"/>
      <c r="K45" s="588">
        <f t="shared" si="41"/>
        <v>23154.000000000087</v>
      </c>
      <c r="L45" s="589"/>
      <c r="M45" s="590">
        <f t="shared" si="39"/>
        <v>746.9032258064544</v>
      </c>
      <c r="N45" s="591"/>
      <c r="O45" s="583">
        <f aca="true" t="shared" si="43" ref="O45:O50">IF(I45="","",E45+K45)</f>
        <v>63497.999999999956</v>
      </c>
      <c r="P45" s="594"/>
      <c r="Q45" s="595">
        <f t="shared" si="42"/>
        <v>2048.32258064516</v>
      </c>
      <c r="R45" s="594"/>
      <c r="S45" s="192">
        <f t="shared" si="36"/>
        <v>0.36464140602853795</v>
      </c>
      <c r="T45" s="148">
        <f ca="1" t="shared" si="37"/>
        <v>0.4473101372827481</v>
      </c>
      <c r="U45" s="241">
        <v>40486</v>
      </c>
      <c r="V45" s="257">
        <v>0.5694444444444444</v>
      </c>
      <c r="W45" s="258">
        <v>0.611111111111111</v>
      </c>
      <c r="X45" s="243" t="s">
        <v>195</v>
      </c>
      <c r="Y45" s="242">
        <v>17</v>
      </c>
    </row>
    <row r="46" spans="1:25" ht="12" customHeight="1" hidden="1">
      <c r="A46" s="85">
        <f>EOMONTH(A47,0)+1</f>
        <v>40452</v>
      </c>
      <c r="B46" s="337"/>
      <c r="C46" s="581">
        <v>2927.4</v>
      </c>
      <c r="D46" s="582"/>
      <c r="E46" s="588">
        <f t="shared" si="40"/>
        <v>48714.00000000003</v>
      </c>
      <c r="F46" s="589"/>
      <c r="G46" s="590">
        <f t="shared" si="38"/>
        <v>1623.8000000000009</v>
      </c>
      <c r="H46" s="591"/>
      <c r="I46" s="581">
        <v>1502.06</v>
      </c>
      <c r="J46" s="582"/>
      <c r="K46" s="588">
        <f t="shared" si="41"/>
        <v>24401.999999999905</v>
      </c>
      <c r="L46" s="589"/>
      <c r="M46" s="590">
        <f t="shared" si="39"/>
        <v>813.3999999999968</v>
      </c>
      <c r="N46" s="591"/>
      <c r="O46" s="583">
        <f t="shared" si="43"/>
        <v>73115.99999999994</v>
      </c>
      <c r="P46" s="594"/>
      <c r="Q46" s="595">
        <f t="shared" si="42"/>
        <v>2437.199999999998</v>
      </c>
      <c r="R46" s="594"/>
      <c r="S46" s="192">
        <f t="shared" si="36"/>
        <v>0.33374364024290065</v>
      </c>
      <c r="T46" s="148">
        <f ca="1" t="shared" si="37"/>
        <v>0.4384715025906732</v>
      </c>
      <c r="U46" s="241">
        <v>40456</v>
      </c>
      <c r="V46" s="257">
        <v>0.3958333333333333</v>
      </c>
      <c r="W46" s="258">
        <v>0.4375</v>
      </c>
      <c r="X46" s="243" t="s">
        <v>195</v>
      </c>
      <c r="Y46" s="242">
        <v>23</v>
      </c>
    </row>
    <row r="47" spans="1:25" ht="12" customHeight="1" hidden="1">
      <c r="A47" s="85">
        <f>EOMONTH(A48,0)+1</f>
        <v>40422</v>
      </c>
      <c r="B47" s="337"/>
      <c r="C47" s="581">
        <v>2846.21</v>
      </c>
      <c r="D47" s="582"/>
      <c r="E47" s="588">
        <f t="shared" si="40"/>
        <v>60444.000000000146</v>
      </c>
      <c r="F47" s="589"/>
      <c r="G47" s="590">
        <f t="shared" si="38"/>
        <v>1949.806451612908</v>
      </c>
      <c r="H47" s="591"/>
      <c r="I47" s="581">
        <v>1461.39</v>
      </c>
      <c r="J47" s="582"/>
      <c r="K47" s="588">
        <f t="shared" si="41"/>
        <v>25518.00000000012</v>
      </c>
      <c r="L47" s="589"/>
      <c r="M47" s="590">
        <f t="shared" si="39"/>
        <v>823.1612903225845</v>
      </c>
      <c r="N47" s="591"/>
      <c r="O47" s="583">
        <f t="shared" si="43"/>
        <v>85962.00000000026</v>
      </c>
      <c r="P47" s="594"/>
      <c r="Q47" s="595">
        <f t="shared" si="42"/>
        <v>2772.9677419354925</v>
      </c>
      <c r="R47" s="594"/>
      <c r="S47" s="192">
        <f aca="true" t="shared" si="44" ref="S47:S52">IF(O47="","",K47/O47)</f>
        <v>0.2968520974384035</v>
      </c>
      <c r="T47" s="148">
        <f aca="true" ca="1" t="shared" si="45" ref="T47:T52">IF(Q47="","",Q47/INDIRECT("E"&amp;V$3+ROW(T48)-14)/24)</f>
        <v>0.4530993042378256</v>
      </c>
      <c r="U47" s="241">
        <v>40427</v>
      </c>
      <c r="V47" s="257">
        <v>0.576388888888889</v>
      </c>
      <c r="W47" s="258">
        <v>0.6180555555555556</v>
      </c>
      <c r="X47" s="243" t="s">
        <v>195</v>
      </c>
      <c r="Y47" s="242">
        <v>35.8</v>
      </c>
    </row>
    <row r="48" spans="1:25" ht="12" customHeight="1" hidden="1">
      <c r="A48" s="85">
        <f>EOMONTH(A49,0)+1</f>
        <v>40391</v>
      </c>
      <c r="B48" s="337"/>
      <c r="C48" s="581">
        <v>2745.47</v>
      </c>
      <c r="D48" s="582"/>
      <c r="E48" s="588">
        <f t="shared" si="40"/>
        <v>55529.99999999984</v>
      </c>
      <c r="F48" s="589"/>
      <c r="G48" s="590">
        <f t="shared" si="38"/>
        <v>1791.29032258064</v>
      </c>
      <c r="H48" s="591"/>
      <c r="I48" s="581">
        <v>1418.86</v>
      </c>
      <c r="J48" s="582"/>
      <c r="K48" s="588">
        <f t="shared" si="41"/>
        <v>28217.999999999985</v>
      </c>
      <c r="L48" s="589"/>
      <c r="M48" s="590">
        <f t="shared" si="39"/>
        <v>910.2580645161286</v>
      </c>
      <c r="N48" s="591"/>
      <c r="O48" s="583">
        <f t="shared" si="43"/>
        <v>83747.99999999983</v>
      </c>
      <c r="P48" s="594"/>
      <c r="Q48" s="595">
        <f t="shared" si="42"/>
        <v>2701.5483870967687</v>
      </c>
      <c r="R48" s="594"/>
      <c r="S48" s="192">
        <f t="shared" si="44"/>
        <v>0.336939389597364</v>
      </c>
      <c r="T48" s="148">
        <f ca="1" t="shared" si="45"/>
        <v>0.45206632983546996</v>
      </c>
      <c r="U48" s="241">
        <v>40395</v>
      </c>
      <c r="V48" s="257">
        <v>0.4513888888888889</v>
      </c>
      <c r="W48" s="258">
        <v>0.5</v>
      </c>
      <c r="X48" s="243" t="s">
        <v>270</v>
      </c>
      <c r="Y48" s="242">
        <v>38.7</v>
      </c>
    </row>
    <row r="49" spans="1:25" ht="12" customHeight="1" hidden="1">
      <c r="A49" s="85">
        <f>EOMONTH(A50,0)+1</f>
        <v>40360</v>
      </c>
      <c r="B49" s="337"/>
      <c r="C49" s="581">
        <v>2652.92</v>
      </c>
      <c r="D49" s="582"/>
      <c r="E49" s="588">
        <f t="shared" si="40"/>
        <v>50135.99999999997</v>
      </c>
      <c r="F49" s="589"/>
      <c r="G49" s="590">
        <f aca="true" t="shared" si="46" ref="G49:G54">IF(C49="","",E49/DATEDIF($A50,$A49,"d"))</f>
        <v>1671.1999999999991</v>
      </c>
      <c r="H49" s="591"/>
      <c r="I49" s="581">
        <v>1371.83</v>
      </c>
      <c r="J49" s="582"/>
      <c r="K49" s="588">
        <f t="shared" si="41"/>
        <v>19589.99999999992</v>
      </c>
      <c r="L49" s="589"/>
      <c r="M49" s="590">
        <f aca="true" t="shared" si="47" ref="M49:M54">IF(I49="","",K49/DATEDIF($A50,$A49,"d"))</f>
        <v>652.9999999999974</v>
      </c>
      <c r="N49" s="591"/>
      <c r="O49" s="583">
        <f t="shared" si="43"/>
        <v>69725.99999999988</v>
      </c>
      <c r="P49" s="594"/>
      <c r="Q49" s="595">
        <f t="shared" si="42"/>
        <v>2324.199999999996</v>
      </c>
      <c r="R49" s="594"/>
      <c r="S49" s="192">
        <f t="shared" si="44"/>
        <v>0.280956888391704</v>
      </c>
      <c r="T49" s="148">
        <f ca="1" t="shared" si="45"/>
        <v>0.4106940910376018</v>
      </c>
      <c r="U49" s="241">
        <v>40364</v>
      </c>
      <c r="V49" s="257">
        <v>0.4895833333333333</v>
      </c>
      <c r="W49" s="258">
        <v>0.5520833333333334</v>
      </c>
      <c r="X49" s="243" t="s">
        <v>195</v>
      </c>
      <c r="Y49" s="242">
        <v>25</v>
      </c>
    </row>
    <row r="50" spans="1:25" ht="12" customHeight="1" hidden="1">
      <c r="A50" s="85">
        <f>EOMONTH(A51,0)+1</f>
        <v>40330</v>
      </c>
      <c r="B50" s="337"/>
      <c r="C50" s="581">
        <v>2569.36</v>
      </c>
      <c r="D50" s="582"/>
      <c r="E50" s="588">
        <f aca="true" t="shared" si="48" ref="E50:E55">IF(C50="","",(C50-C51)*600)</f>
        <v>32856.00000000013</v>
      </c>
      <c r="F50" s="589"/>
      <c r="G50" s="590">
        <f t="shared" si="46"/>
        <v>1059.8709677419397</v>
      </c>
      <c r="H50" s="591"/>
      <c r="I50" s="581">
        <v>1339.18</v>
      </c>
      <c r="J50" s="582"/>
      <c r="K50" s="588">
        <f aca="true" t="shared" si="49" ref="K50:K55">IF(I50="","",(I50-I51)*600)</f>
        <v>23808.000000000036</v>
      </c>
      <c r="L50" s="589"/>
      <c r="M50" s="590">
        <f t="shared" si="47"/>
        <v>768.0000000000011</v>
      </c>
      <c r="N50" s="591"/>
      <c r="O50" s="583">
        <f t="shared" si="43"/>
        <v>56664.00000000017</v>
      </c>
      <c r="P50" s="594"/>
      <c r="Q50" s="595">
        <f aca="true" t="shared" si="50" ref="Q50:Q55">IF(O50="","",O50/DATEDIF($A51,$A50,"d"))</f>
        <v>1827.8709677419408</v>
      </c>
      <c r="R50" s="594"/>
      <c r="S50" s="192">
        <f t="shared" si="44"/>
        <v>0.42016094875052884</v>
      </c>
      <c r="T50" s="148">
        <f ca="1" t="shared" si="45"/>
        <v>0.4042531333470322</v>
      </c>
      <c r="U50" s="241">
        <v>40336</v>
      </c>
      <c r="V50" s="257">
        <v>0.4513888888888889</v>
      </c>
      <c r="W50" s="258">
        <v>0.5</v>
      </c>
      <c r="X50" s="243" t="s">
        <v>195</v>
      </c>
      <c r="Y50" s="242">
        <v>29</v>
      </c>
    </row>
    <row r="51" spans="1:25" ht="12" customHeight="1" hidden="1">
      <c r="A51" s="85">
        <f>EOMONTH(A52,0)+1</f>
        <v>40299</v>
      </c>
      <c r="B51" s="337"/>
      <c r="C51" s="581">
        <v>2514.6</v>
      </c>
      <c r="D51" s="582"/>
      <c r="E51" s="588">
        <f t="shared" si="48"/>
        <v>33959.99999999994</v>
      </c>
      <c r="F51" s="589"/>
      <c r="G51" s="590">
        <f t="shared" si="46"/>
        <v>1131.999999999998</v>
      </c>
      <c r="H51" s="591"/>
      <c r="I51" s="581">
        <v>1299.5</v>
      </c>
      <c r="J51" s="582"/>
      <c r="K51" s="588">
        <f t="shared" si="49"/>
        <v>15096.00000000005</v>
      </c>
      <c r="L51" s="589"/>
      <c r="M51" s="590">
        <f t="shared" si="47"/>
        <v>503.20000000000164</v>
      </c>
      <c r="N51" s="591"/>
      <c r="O51" s="583">
        <f aca="true" t="shared" si="51" ref="O51:O56">IF(I51="","",E51+K51)</f>
        <v>49055.99999999999</v>
      </c>
      <c r="P51" s="594"/>
      <c r="Q51" s="595">
        <f t="shared" si="50"/>
        <v>1635.1999999999998</v>
      </c>
      <c r="R51" s="594"/>
      <c r="S51" s="192">
        <f t="shared" si="44"/>
        <v>0.30772994129158615</v>
      </c>
      <c r="T51" s="148">
        <f ca="1" t="shared" si="45"/>
        <v>0.42851153039832285</v>
      </c>
      <c r="U51" s="241">
        <v>40304</v>
      </c>
      <c r="V51" s="257">
        <v>0.4166666666666667</v>
      </c>
      <c r="W51" s="258">
        <v>0.4930555555555556</v>
      </c>
      <c r="X51" s="243" t="s">
        <v>270</v>
      </c>
      <c r="Y51" s="242">
        <v>32</v>
      </c>
    </row>
    <row r="52" spans="1:25" ht="12" customHeight="1" hidden="1">
      <c r="A52" s="85">
        <f>EOMONTH(A53,0)+1</f>
        <v>40269</v>
      </c>
      <c r="B52" s="337"/>
      <c r="C52" s="592">
        <v>2458</v>
      </c>
      <c r="D52" s="593"/>
      <c r="E52" s="588">
        <f t="shared" si="48"/>
        <v>40121.999999999935</v>
      </c>
      <c r="F52" s="589"/>
      <c r="G52" s="590">
        <f t="shared" si="46"/>
        <v>1294.258064516127</v>
      </c>
      <c r="H52" s="591"/>
      <c r="I52" s="592">
        <v>1274.34</v>
      </c>
      <c r="J52" s="593"/>
      <c r="K52" s="588">
        <f t="shared" si="49"/>
        <v>16685.999999999967</v>
      </c>
      <c r="L52" s="589"/>
      <c r="M52" s="590">
        <f t="shared" si="47"/>
        <v>538.258064516128</v>
      </c>
      <c r="N52" s="591"/>
      <c r="O52" s="583">
        <f t="shared" si="51"/>
        <v>56807.9999999999</v>
      </c>
      <c r="P52" s="594"/>
      <c r="Q52" s="595">
        <f t="shared" si="50"/>
        <v>1832.5161290322549</v>
      </c>
      <c r="R52" s="594"/>
      <c r="S52" s="192">
        <f t="shared" si="44"/>
        <v>0.2937262357414448</v>
      </c>
      <c r="T52" s="148">
        <f ca="1" t="shared" si="45"/>
        <v>0.3554694539556671</v>
      </c>
      <c r="U52" s="241">
        <v>40273</v>
      </c>
      <c r="V52" s="257">
        <v>0.5729166666666666</v>
      </c>
      <c r="W52" s="258">
        <v>0.6145833333333334</v>
      </c>
      <c r="X52" s="243" t="s">
        <v>195</v>
      </c>
      <c r="Y52" s="242">
        <v>18</v>
      </c>
    </row>
    <row r="53" spans="1:25" ht="12" customHeight="1" hidden="1">
      <c r="A53" s="85">
        <f>EOMONTH(A54,0)+1</f>
        <v>40238</v>
      </c>
      <c r="B53" s="337"/>
      <c r="C53" s="592">
        <v>2391.13</v>
      </c>
      <c r="D53" s="593"/>
      <c r="E53" s="588">
        <f t="shared" si="48"/>
        <v>38994.000000000146</v>
      </c>
      <c r="F53" s="589"/>
      <c r="G53" s="590">
        <f t="shared" si="46"/>
        <v>1392.6428571428623</v>
      </c>
      <c r="H53" s="591"/>
      <c r="I53" s="592">
        <v>1246.53</v>
      </c>
      <c r="J53" s="593"/>
      <c r="K53" s="588">
        <f t="shared" si="49"/>
        <v>18965.99999999994</v>
      </c>
      <c r="L53" s="589"/>
      <c r="M53" s="590">
        <f t="shared" si="47"/>
        <v>677.3571428571407</v>
      </c>
      <c r="N53" s="591"/>
      <c r="O53" s="583">
        <f t="shared" si="51"/>
        <v>57960.00000000009</v>
      </c>
      <c r="P53" s="594"/>
      <c r="Q53" s="595">
        <f t="shared" si="50"/>
        <v>2070.000000000003</v>
      </c>
      <c r="R53" s="594"/>
      <c r="S53" s="192">
        <f aca="true" t="shared" si="52" ref="S53:S58">IF(O53="","",K53/O53)</f>
        <v>0.3272256728778453</v>
      </c>
      <c r="T53" s="148">
        <f aca="true" ca="1" t="shared" si="53" ref="T53:T58">IF(Q53="","",Q53/INDIRECT("E"&amp;V$3+ROW(T54)-14)/24)</f>
        <v>0.39709944751381276</v>
      </c>
      <c r="U53" s="241">
        <v>40242</v>
      </c>
      <c r="V53" s="257">
        <v>0.6319444444444444</v>
      </c>
      <c r="W53" s="258">
        <v>0.6736111111111112</v>
      </c>
      <c r="X53" s="243" t="s">
        <v>195</v>
      </c>
      <c r="Y53" s="242">
        <v>15</v>
      </c>
    </row>
    <row r="54" spans="1:25" ht="12" customHeight="1" hidden="1">
      <c r="A54" s="85">
        <f>EOMONTH(A55,0)+1</f>
        <v>40210</v>
      </c>
      <c r="B54" s="337"/>
      <c r="C54" s="592">
        <v>2326.14</v>
      </c>
      <c r="D54" s="593"/>
      <c r="E54" s="588">
        <f t="shared" si="48"/>
        <v>38135.99999999997</v>
      </c>
      <c r="F54" s="589"/>
      <c r="G54" s="590">
        <f t="shared" si="46"/>
        <v>1230.193548387096</v>
      </c>
      <c r="H54" s="591"/>
      <c r="I54" s="592">
        <v>1214.92</v>
      </c>
      <c r="J54" s="593"/>
      <c r="K54" s="588">
        <f t="shared" si="49"/>
        <v>27360.00000000008</v>
      </c>
      <c r="L54" s="589"/>
      <c r="M54" s="590">
        <f t="shared" si="47"/>
        <v>882.5806451612929</v>
      </c>
      <c r="N54" s="591"/>
      <c r="O54" s="583">
        <f t="shared" si="51"/>
        <v>65496.00000000005</v>
      </c>
      <c r="P54" s="594"/>
      <c r="Q54" s="595">
        <f t="shared" si="50"/>
        <v>2112.7741935483887</v>
      </c>
      <c r="R54" s="594"/>
      <c r="S54" s="192">
        <f t="shared" si="52"/>
        <v>0.4177354342249917</v>
      </c>
      <c r="T54" s="148">
        <f ca="1" t="shared" si="53"/>
        <v>0.4053050555456547</v>
      </c>
      <c r="U54" s="241">
        <v>40217</v>
      </c>
      <c r="V54" s="257">
        <v>0.5</v>
      </c>
      <c r="W54" s="258">
        <v>0.548611111111111</v>
      </c>
      <c r="X54" s="243" t="s">
        <v>195</v>
      </c>
      <c r="Y54" s="242">
        <v>9</v>
      </c>
    </row>
    <row r="55" spans="1:25" ht="12" customHeight="1" hidden="1">
      <c r="A55" s="85">
        <f>EOMONTH(A56,0)+1</f>
        <v>40179</v>
      </c>
      <c r="B55" s="337"/>
      <c r="C55" s="592">
        <v>2262.58</v>
      </c>
      <c r="D55" s="593"/>
      <c r="E55" s="588">
        <f t="shared" si="48"/>
        <v>38867.99999999985</v>
      </c>
      <c r="F55" s="589"/>
      <c r="G55" s="590">
        <f aca="true" t="shared" si="54" ref="G55:G60">IF(C55="","",E55/DATEDIF($A56,$A55,"d"))</f>
        <v>1253.8064516128984</v>
      </c>
      <c r="H55" s="591"/>
      <c r="I55" s="592">
        <v>1169.32</v>
      </c>
      <c r="J55" s="593"/>
      <c r="K55" s="588">
        <f t="shared" si="49"/>
        <v>21797.999999999956</v>
      </c>
      <c r="L55" s="589"/>
      <c r="M55" s="590">
        <f aca="true" t="shared" si="55" ref="M55:M60">IF(I55="","",K55/DATEDIF($A56,$A55,"d"))</f>
        <v>703.1612903225792</v>
      </c>
      <c r="N55" s="591"/>
      <c r="O55" s="583">
        <f t="shared" si="51"/>
        <v>60665.9999999998</v>
      </c>
      <c r="P55" s="594"/>
      <c r="Q55" s="595">
        <f t="shared" si="50"/>
        <v>1956.9677419354775</v>
      </c>
      <c r="R55" s="594"/>
      <c r="S55" s="192">
        <f t="shared" si="52"/>
        <v>0.35931164078726185</v>
      </c>
      <c r="T55" s="148">
        <f ca="1" t="shared" si="53"/>
        <v>0.38828725038402334</v>
      </c>
      <c r="U55" s="241">
        <v>40185</v>
      </c>
      <c r="V55" s="257">
        <v>0.4375</v>
      </c>
      <c r="W55" s="258">
        <v>0.4791666666666667</v>
      </c>
      <c r="X55" s="243" t="s">
        <v>195</v>
      </c>
      <c r="Y55" s="242">
        <v>8</v>
      </c>
    </row>
    <row r="56" spans="1:25" ht="12" customHeight="1" hidden="1">
      <c r="A56" s="85">
        <f>EOMONTH(A57,0)+1</f>
        <v>40148</v>
      </c>
      <c r="B56" s="337"/>
      <c r="C56" s="592">
        <v>2197.8</v>
      </c>
      <c r="D56" s="593"/>
      <c r="E56" s="588">
        <f aca="true" t="shared" si="56" ref="E56:E61">IF(C56="","",(C56-C57)*600)</f>
        <v>33690.00000000006</v>
      </c>
      <c r="F56" s="589"/>
      <c r="G56" s="590">
        <f t="shared" si="54"/>
        <v>1123.000000000002</v>
      </c>
      <c r="H56" s="591"/>
      <c r="I56" s="592">
        <v>1132.99</v>
      </c>
      <c r="J56" s="593"/>
      <c r="K56" s="588">
        <f aca="true" t="shared" si="57" ref="K56:K61">IF(I56="","",(I56-I57)*600)</f>
        <v>19872.000000000073</v>
      </c>
      <c r="L56" s="589"/>
      <c r="M56" s="590">
        <f t="shared" si="55"/>
        <v>662.4000000000025</v>
      </c>
      <c r="N56" s="591"/>
      <c r="O56" s="583">
        <f t="shared" si="51"/>
        <v>53562.00000000013</v>
      </c>
      <c r="P56" s="594"/>
      <c r="Q56" s="595">
        <f aca="true" t="shared" si="58" ref="Q56:Q61">IF(O56="","",O56/DATEDIF($A57,$A56,"d"))</f>
        <v>1785.4000000000044</v>
      </c>
      <c r="R56" s="594"/>
      <c r="S56" s="192">
        <f t="shared" si="52"/>
        <v>0.37100929763638446</v>
      </c>
      <c r="T56" s="148">
        <f ca="1" t="shared" si="53"/>
        <v>0.41328703703703806</v>
      </c>
      <c r="U56" s="241">
        <v>40154</v>
      </c>
      <c r="V56" s="257">
        <v>0.4166666666666667</v>
      </c>
      <c r="W56" s="258">
        <v>0.46875</v>
      </c>
      <c r="X56" s="243" t="s">
        <v>195</v>
      </c>
      <c r="Y56" s="242">
        <v>11</v>
      </c>
    </row>
    <row r="57" spans="1:25" ht="12" customHeight="1" hidden="1">
      <c r="A57" s="85">
        <f>EOMONTH(A58,0)+1</f>
        <v>40118</v>
      </c>
      <c r="B57" s="337"/>
      <c r="C57" s="592">
        <v>2141.65</v>
      </c>
      <c r="D57" s="593"/>
      <c r="E57" s="588">
        <f t="shared" si="56"/>
        <v>41297.999999999956</v>
      </c>
      <c r="F57" s="589"/>
      <c r="G57" s="590">
        <f t="shared" si="54"/>
        <v>1332.1935483870955</v>
      </c>
      <c r="H57" s="591"/>
      <c r="I57" s="592">
        <v>1099.87</v>
      </c>
      <c r="J57" s="593"/>
      <c r="K57" s="588">
        <f t="shared" si="57"/>
        <v>19985.999999999967</v>
      </c>
      <c r="L57" s="589"/>
      <c r="M57" s="590">
        <f t="shared" si="55"/>
        <v>644.7096774193537</v>
      </c>
      <c r="N57" s="591"/>
      <c r="O57" s="583">
        <f aca="true" t="shared" si="59" ref="O57:O62">IF(I57="","",E57+K57)</f>
        <v>61283.99999999993</v>
      </c>
      <c r="P57" s="594"/>
      <c r="Q57" s="595">
        <f t="shared" si="58"/>
        <v>1976.9032258064492</v>
      </c>
      <c r="R57" s="594"/>
      <c r="S57" s="192">
        <f t="shared" si="52"/>
        <v>0.3261210103779125</v>
      </c>
      <c r="T57" s="148">
        <f ca="1" t="shared" si="53"/>
        <v>0.4386100518739903</v>
      </c>
      <c r="U57" s="241">
        <v>40123</v>
      </c>
      <c r="V57" s="257">
        <v>0.4513888888888889</v>
      </c>
      <c r="W57" s="258">
        <v>0.5208333333333334</v>
      </c>
      <c r="X57" s="243" t="s">
        <v>270</v>
      </c>
      <c r="Y57" s="242">
        <v>21</v>
      </c>
    </row>
    <row r="58" spans="1:25" ht="12" customHeight="1" hidden="1">
      <c r="A58" s="85">
        <f>EOMONTH(A59,0)+1</f>
        <v>40087</v>
      </c>
      <c r="B58" s="337"/>
      <c r="C58" s="592">
        <v>2072.82</v>
      </c>
      <c r="D58" s="593"/>
      <c r="E58" s="588">
        <f t="shared" si="56"/>
        <v>43404.00000000009</v>
      </c>
      <c r="F58" s="589"/>
      <c r="G58" s="590">
        <f t="shared" si="54"/>
        <v>1446.800000000003</v>
      </c>
      <c r="H58" s="591"/>
      <c r="I58" s="592">
        <v>1066.56</v>
      </c>
      <c r="J58" s="593"/>
      <c r="K58" s="588">
        <f t="shared" si="57"/>
        <v>25505.999999999993</v>
      </c>
      <c r="L58" s="589"/>
      <c r="M58" s="590">
        <f t="shared" si="55"/>
        <v>850.1999999999997</v>
      </c>
      <c r="N58" s="591"/>
      <c r="O58" s="583">
        <f t="shared" si="59"/>
        <v>68910.00000000009</v>
      </c>
      <c r="P58" s="594"/>
      <c r="Q58" s="595">
        <f t="shared" si="58"/>
        <v>2297.0000000000027</v>
      </c>
      <c r="R58" s="594"/>
      <c r="S58" s="192">
        <f t="shared" si="52"/>
        <v>0.370134958641706</v>
      </c>
      <c r="T58" s="148">
        <f ca="1" t="shared" si="53"/>
        <v>0.43822496947496997</v>
      </c>
      <c r="U58" s="241">
        <v>40094</v>
      </c>
      <c r="V58" s="257">
        <v>0.6145833333333334</v>
      </c>
      <c r="W58" s="258">
        <v>0.6597222222222222</v>
      </c>
      <c r="X58" s="243" t="s">
        <v>271</v>
      </c>
      <c r="Y58" s="242">
        <v>16</v>
      </c>
    </row>
    <row r="59" spans="1:25" ht="12" customHeight="1" hidden="1">
      <c r="A59" s="85">
        <f>EOMONTH(A60,0)+1</f>
        <v>40057</v>
      </c>
      <c r="B59" s="337"/>
      <c r="C59" s="592">
        <v>2000.48</v>
      </c>
      <c r="D59" s="593"/>
      <c r="E59" s="588">
        <f t="shared" si="56"/>
        <v>55391.99999999996</v>
      </c>
      <c r="F59" s="589"/>
      <c r="G59" s="590">
        <f t="shared" si="54"/>
        <v>1786.8387096774181</v>
      </c>
      <c r="H59" s="591"/>
      <c r="I59" s="592">
        <v>1024.05</v>
      </c>
      <c r="J59" s="593"/>
      <c r="K59" s="588">
        <f t="shared" si="57"/>
        <v>26375.999999999953</v>
      </c>
      <c r="L59" s="589"/>
      <c r="M59" s="590">
        <f t="shared" si="55"/>
        <v>850.8387096774178</v>
      </c>
      <c r="N59" s="591"/>
      <c r="O59" s="583">
        <f t="shared" si="59"/>
        <v>81767.99999999991</v>
      </c>
      <c r="P59" s="594"/>
      <c r="Q59" s="595">
        <f t="shared" si="58"/>
        <v>2637.677419354836</v>
      </c>
      <c r="R59" s="594"/>
      <c r="S59" s="192">
        <f aca="true" t="shared" si="60" ref="S59:S64">IF(O59="","",K59/O59)</f>
        <v>0.32257117698855275</v>
      </c>
      <c r="T59" s="148">
        <f aca="true" ca="1" t="shared" si="61" ref="T59:T64">IF(Q59="","",Q59/INDIRECT("E"&amp;V$3+ROW(T60)-14)/24)</f>
        <v>0.43508798814905575</v>
      </c>
      <c r="U59" s="241">
        <v>40063</v>
      </c>
      <c r="V59" s="257">
        <v>0.4791666666666667</v>
      </c>
      <c r="W59" s="258">
        <v>0.5208333333333334</v>
      </c>
      <c r="X59" s="243" t="s">
        <v>283</v>
      </c>
      <c r="Y59" s="242">
        <v>30</v>
      </c>
    </row>
    <row r="60" spans="1:25" ht="12" customHeight="1" hidden="1">
      <c r="A60" s="85">
        <f>EOMONTH(A61,0)+1</f>
        <v>40026</v>
      </c>
      <c r="B60" s="337"/>
      <c r="C60" s="592">
        <v>1908.16</v>
      </c>
      <c r="D60" s="593"/>
      <c r="E60" s="588">
        <f t="shared" si="56"/>
        <v>56982.000000000015</v>
      </c>
      <c r="F60" s="589"/>
      <c r="G60" s="590">
        <f t="shared" si="54"/>
        <v>1838.129032258065</v>
      </c>
      <c r="H60" s="591"/>
      <c r="I60" s="592">
        <v>980.09</v>
      </c>
      <c r="J60" s="593"/>
      <c r="K60" s="588">
        <f t="shared" si="57"/>
        <v>23705.999999999993</v>
      </c>
      <c r="L60" s="589"/>
      <c r="M60" s="590">
        <f t="shared" si="55"/>
        <v>764.7096774193546</v>
      </c>
      <c r="N60" s="591"/>
      <c r="O60" s="583">
        <f t="shared" si="59"/>
        <v>80688</v>
      </c>
      <c r="P60" s="594"/>
      <c r="Q60" s="595">
        <f t="shared" si="58"/>
        <v>2602.8387096774195</v>
      </c>
      <c r="R60" s="594"/>
      <c r="S60" s="192">
        <f t="shared" si="60"/>
        <v>0.29379833432480656</v>
      </c>
      <c r="T60" s="148">
        <f ca="1" t="shared" si="61"/>
        <v>0.40618581611695065</v>
      </c>
      <c r="U60" s="241">
        <v>40032</v>
      </c>
      <c r="V60" s="257">
        <v>0.4513888888888889</v>
      </c>
      <c r="W60" s="258">
        <v>0.5069444444444444</v>
      </c>
      <c r="X60" s="243" t="s">
        <v>195</v>
      </c>
      <c r="Y60" s="242">
        <v>28.5</v>
      </c>
    </row>
    <row r="61" spans="1:25" ht="12" customHeight="1" hidden="1">
      <c r="A61" s="85">
        <f>EOMONTH(A62,0)+1</f>
        <v>39995</v>
      </c>
      <c r="B61" s="337"/>
      <c r="C61" s="592">
        <v>1813.19</v>
      </c>
      <c r="D61" s="593"/>
      <c r="E61" s="588">
        <f t="shared" si="56"/>
        <v>54732.000000000015</v>
      </c>
      <c r="F61" s="589"/>
      <c r="G61" s="590">
        <f aca="true" t="shared" si="62" ref="G61:G66">IF(C61="","",E61/DATEDIF($A62,$A61,"d"))</f>
        <v>1824.4000000000005</v>
      </c>
      <c r="H61" s="591"/>
      <c r="I61" s="592">
        <v>940.58</v>
      </c>
      <c r="J61" s="593"/>
      <c r="K61" s="588">
        <f t="shared" si="57"/>
        <v>20610.000000000015</v>
      </c>
      <c r="L61" s="589"/>
      <c r="M61" s="590">
        <f aca="true" t="shared" si="63" ref="M61:M66">IF(I61="","",K61/DATEDIF($A62,$A61,"d"))</f>
        <v>687.0000000000005</v>
      </c>
      <c r="N61" s="591"/>
      <c r="O61" s="583">
        <f t="shared" si="59"/>
        <v>75342.00000000003</v>
      </c>
      <c r="P61" s="594"/>
      <c r="Q61" s="595">
        <f t="shared" si="58"/>
        <v>2511.400000000001</v>
      </c>
      <c r="R61" s="594"/>
      <c r="S61" s="192">
        <f t="shared" si="60"/>
        <v>0.2735526001433464</v>
      </c>
      <c r="T61" s="148">
        <f ca="1" t="shared" si="61"/>
        <v>0.42330771305285886</v>
      </c>
      <c r="U61" s="241">
        <v>40001</v>
      </c>
      <c r="V61" s="257">
        <v>0.5833333333333334</v>
      </c>
      <c r="W61" s="258">
        <v>0.625</v>
      </c>
      <c r="X61" s="243" t="s">
        <v>195</v>
      </c>
      <c r="Y61" s="242">
        <v>32</v>
      </c>
    </row>
    <row r="62" spans="1:25" ht="12" customHeight="1" hidden="1">
      <c r="A62" s="85">
        <f>EOMONTH(A63,0)+1</f>
        <v>39965</v>
      </c>
      <c r="B62" s="337"/>
      <c r="C62" s="592">
        <v>1721.97</v>
      </c>
      <c r="D62" s="593"/>
      <c r="E62" s="588">
        <f aca="true" t="shared" si="64" ref="E62:E67">IF(C62="","",(C62-C63)*600)</f>
        <v>36708.00000000004</v>
      </c>
      <c r="F62" s="589"/>
      <c r="G62" s="590">
        <f t="shared" si="62"/>
        <v>1184.1290322580658</v>
      </c>
      <c r="H62" s="591"/>
      <c r="I62" s="592">
        <v>906.23</v>
      </c>
      <c r="J62" s="593"/>
      <c r="K62" s="588">
        <f aca="true" t="shared" si="65" ref="K62:K67">IF(I62="","",(I62-I63)*600)</f>
        <v>30761.99999999999</v>
      </c>
      <c r="L62" s="589"/>
      <c r="M62" s="590">
        <f t="shared" si="63"/>
        <v>992.3225806451609</v>
      </c>
      <c r="N62" s="591"/>
      <c r="O62" s="583">
        <f t="shared" si="59"/>
        <v>67470.00000000003</v>
      </c>
      <c r="P62" s="594"/>
      <c r="Q62" s="595">
        <f aca="true" t="shared" si="66" ref="Q62:Q67">IF(O62="","",O62/DATEDIF($A63,$A62,"d"))</f>
        <v>2176.4516129032268</v>
      </c>
      <c r="R62" s="594"/>
      <c r="S62" s="192">
        <f t="shared" si="60"/>
        <v>0.4559359715429076</v>
      </c>
      <c r="T62" s="148">
        <f ca="1" t="shared" si="61"/>
        <v>0.4140889674473414</v>
      </c>
      <c r="U62" s="241">
        <v>39969</v>
      </c>
      <c r="V62" s="257">
        <v>0.4479166666666667</v>
      </c>
      <c r="W62" s="258">
        <v>0.5</v>
      </c>
      <c r="X62" s="243" t="s">
        <v>195</v>
      </c>
      <c r="Y62" s="242">
        <v>23.5</v>
      </c>
    </row>
    <row r="63" spans="1:25" ht="12" customHeight="1" hidden="1">
      <c r="A63" s="85">
        <f>EOMONTH(A64,0)+1</f>
        <v>39934</v>
      </c>
      <c r="B63" s="337"/>
      <c r="C63" s="592">
        <v>1660.79</v>
      </c>
      <c r="D63" s="593"/>
      <c r="E63" s="588">
        <f t="shared" si="64"/>
        <v>39833.99999999993</v>
      </c>
      <c r="F63" s="589"/>
      <c r="G63" s="590">
        <f t="shared" si="62"/>
        <v>1327.7999999999977</v>
      </c>
      <c r="H63" s="591"/>
      <c r="I63" s="592">
        <v>854.96</v>
      </c>
      <c r="J63" s="593"/>
      <c r="K63" s="588">
        <f t="shared" si="65"/>
        <v>17370.00000000003</v>
      </c>
      <c r="L63" s="589"/>
      <c r="M63" s="590">
        <f t="shared" si="63"/>
        <v>579.000000000001</v>
      </c>
      <c r="N63" s="591"/>
      <c r="O63" s="583">
        <f aca="true" t="shared" si="67" ref="O63:O68">IF(I63="","",E63+K63)</f>
        <v>57203.999999999956</v>
      </c>
      <c r="P63" s="594"/>
      <c r="Q63" s="595">
        <f t="shared" si="66"/>
        <v>1906.7999999999986</v>
      </c>
      <c r="R63" s="594"/>
      <c r="S63" s="192">
        <f t="shared" si="60"/>
        <v>0.3036500943989938</v>
      </c>
      <c r="T63" s="148">
        <f ca="1" t="shared" si="61"/>
        <v>0.37405838041431233</v>
      </c>
      <c r="U63" s="241">
        <v>39940</v>
      </c>
      <c r="V63" s="257">
        <v>0.4236111111111111</v>
      </c>
      <c r="W63" s="258">
        <v>0.4791666666666667</v>
      </c>
      <c r="X63" s="243" t="s">
        <v>281</v>
      </c>
      <c r="Y63" s="242">
        <v>18</v>
      </c>
    </row>
    <row r="64" spans="1:25" ht="12" customHeight="1" hidden="1">
      <c r="A64" s="85">
        <f>EOMONTH(A65,0)+1</f>
        <v>39904</v>
      </c>
      <c r="B64" s="337"/>
      <c r="C64" s="592">
        <v>1594.4</v>
      </c>
      <c r="D64" s="593"/>
      <c r="E64" s="588">
        <f t="shared" si="64"/>
        <v>42461.999999999985</v>
      </c>
      <c r="F64" s="589"/>
      <c r="G64" s="590">
        <f t="shared" si="62"/>
        <v>1369.7419354838705</v>
      </c>
      <c r="H64" s="591"/>
      <c r="I64" s="592">
        <v>826.01</v>
      </c>
      <c r="J64" s="593"/>
      <c r="K64" s="588">
        <f t="shared" si="65"/>
        <v>19554.00000000002</v>
      </c>
      <c r="L64" s="589"/>
      <c r="M64" s="590">
        <f t="shared" si="63"/>
        <v>630.7741935483876</v>
      </c>
      <c r="N64" s="591"/>
      <c r="O64" s="583">
        <f t="shared" si="67"/>
        <v>62016</v>
      </c>
      <c r="P64" s="594"/>
      <c r="Q64" s="595">
        <f t="shared" si="66"/>
        <v>2000.516129032258</v>
      </c>
      <c r="R64" s="594"/>
      <c r="S64" s="192">
        <f t="shared" si="60"/>
        <v>0.31530572755417985</v>
      </c>
      <c r="T64" s="148">
        <f ca="1" t="shared" si="61"/>
        <v>0.4038509627406852</v>
      </c>
      <c r="U64" s="241">
        <v>39909</v>
      </c>
      <c r="V64" s="257">
        <v>0.4236111111111111</v>
      </c>
      <c r="W64" s="258">
        <v>0.47222222222222227</v>
      </c>
      <c r="X64" s="243" t="s">
        <v>270</v>
      </c>
      <c r="Y64" s="242">
        <v>16.5</v>
      </c>
    </row>
    <row r="65" spans="1:25" ht="12" customHeight="1" hidden="1">
      <c r="A65" s="85">
        <f>EOMONTH(A66,0)+1</f>
        <v>39873</v>
      </c>
      <c r="B65" s="337"/>
      <c r="C65" s="592">
        <v>1523.63</v>
      </c>
      <c r="D65" s="593"/>
      <c r="E65" s="588">
        <f t="shared" si="64"/>
        <v>39252.000000000044</v>
      </c>
      <c r="F65" s="589"/>
      <c r="G65" s="590">
        <f t="shared" si="62"/>
        <v>1401.8571428571445</v>
      </c>
      <c r="H65" s="591"/>
      <c r="I65" s="592">
        <v>793.42</v>
      </c>
      <c r="J65" s="593"/>
      <c r="K65" s="588">
        <f t="shared" si="65"/>
        <v>19007.99999999997</v>
      </c>
      <c r="L65" s="589"/>
      <c r="M65" s="590">
        <f t="shared" si="63"/>
        <v>678.8571428571419</v>
      </c>
      <c r="N65" s="591"/>
      <c r="O65" s="583">
        <f t="shared" si="67"/>
        <v>58260.000000000015</v>
      </c>
      <c r="P65" s="594"/>
      <c r="Q65" s="595">
        <f t="shared" si="66"/>
        <v>2080.7142857142862</v>
      </c>
      <c r="R65" s="594"/>
      <c r="S65" s="192">
        <f aca="true" t="shared" si="68" ref="S65:S70">IF(O65="","",K65/O65)</f>
        <v>0.3262615859938202</v>
      </c>
      <c r="T65" s="148">
        <f aca="true" ca="1" t="shared" si="69" ref="T65:T70">IF(Q65="","",Q65/INDIRECT("E"&amp;V$3+ROW(T66)-14)/24)</f>
        <v>0.375309214594929</v>
      </c>
      <c r="U65" s="241">
        <v>39877</v>
      </c>
      <c r="V65" s="257">
        <v>0.4791666666666667</v>
      </c>
      <c r="W65" s="258">
        <v>0.5208333333333334</v>
      </c>
      <c r="X65" s="243" t="s">
        <v>275</v>
      </c>
      <c r="Y65" s="242">
        <v>11</v>
      </c>
    </row>
    <row r="66" spans="1:25" ht="12" customHeight="1" hidden="1">
      <c r="A66" s="85">
        <f>EOMONTH(A67,0)+1</f>
        <v>39845</v>
      </c>
      <c r="B66" s="337"/>
      <c r="C66" s="592">
        <v>1458.21</v>
      </c>
      <c r="D66" s="593"/>
      <c r="E66" s="588">
        <f t="shared" si="64"/>
        <v>41279.99999999997</v>
      </c>
      <c r="F66" s="589"/>
      <c r="G66" s="590">
        <f t="shared" si="62"/>
        <v>1331.6129032258054</v>
      </c>
      <c r="H66" s="591"/>
      <c r="I66" s="592">
        <v>761.74</v>
      </c>
      <c r="J66" s="593"/>
      <c r="K66" s="588">
        <f t="shared" si="65"/>
        <v>28092.00000000003</v>
      </c>
      <c r="L66" s="589"/>
      <c r="M66" s="590">
        <f t="shared" si="63"/>
        <v>906.1935483870977</v>
      </c>
      <c r="N66" s="591"/>
      <c r="O66" s="583">
        <f t="shared" si="67"/>
        <v>69372</v>
      </c>
      <c r="P66" s="594"/>
      <c r="Q66" s="595">
        <f t="shared" si="66"/>
        <v>2237.8064516129034</v>
      </c>
      <c r="R66" s="594"/>
      <c r="S66" s="192">
        <f t="shared" si="68"/>
        <v>0.40494724096177176</v>
      </c>
      <c r="T66" s="148">
        <f ca="1" t="shared" si="69"/>
        <v>0.3799589873018378</v>
      </c>
      <c r="U66" s="241">
        <v>39848</v>
      </c>
      <c r="V66" s="257">
        <v>0.5</v>
      </c>
      <c r="W66" s="258">
        <v>0.5520833333333334</v>
      </c>
      <c r="X66" s="243" t="s">
        <v>270</v>
      </c>
      <c r="Y66" s="242">
        <v>11</v>
      </c>
    </row>
    <row r="67" spans="1:25" ht="12" customHeight="1" hidden="1">
      <c r="A67" s="85">
        <f>EOMONTH(A68,0)+1</f>
        <v>39814</v>
      </c>
      <c r="B67" s="337"/>
      <c r="C67" s="592">
        <v>1389.41</v>
      </c>
      <c r="D67" s="593"/>
      <c r="E67" s="588">
        <f t="shared" si="64"/>
        <v>42180.00000000011</v>
      </c>
      <c r="F67" s="589"/>
      <c r="G67" s="590">
        <f aca="true" t="shared" si="70" ref="G67:G72">IF(C67="","",E67/DATEDIF($A68,$A67,"d"))</f>
        <v>1360.645161290326</v>
      </c>
      <c r="H67" s="591"/>
      <c r="I67" s="592">
        <v>714.92</v>
      </c>
      <c r="J67" s="593"/>
      <c r="K67" s="588">
        <f t="shared" si="65"/>
        <v>25001.999999999975</v>
      </c>
      <c r="L67" s="589"/>
      <c r="M67" s="590">
        <f aca="true" t="shared" si="71" ref="M67:M72">IF(I67="","",K67/DATEDIF($A68,$A67,"d"))</f>
        <v>806.5161290322573</v>
      </c>
      <c r="N67" s="591"/>
      <c r="O67" s="583">
        <f t="shared" si="67"/>
        <v>67182.00000000009</v>
      </c>
      <c r="P67" s="594"/>
      <c r="Q67" s="595">
        <f t="shared" si="66"/>
        <v>2167.1612903225837</v>
      </c>
      <c r="R67" s="594"/>
      <c r="S67" s="192">
        <f t="shared" si="68"/>
        <v>0.37215325533624993</v>
      </c>
      <c r="T67" s="148">
        <f ca="1" t="shared" si="69"/>
        <v>0.44134109040456654</v>
      </c>
      <c r="U67" s="241">
        <v>39820</v>
      </c>
      <c r="V67" s="257">
        <v>0.4583333333333333</v>
      </c>
      <c r="W67" s="258">
        <v>0.5</v>
      </c>
      <c r="X67" s="243" t="s">
        <v>270</v>
      </c>
      <c r="Y67" s="242">
        <v>7</v>
      </c>
    </row>
    <row r="68" spans="1:25" ht="12" customHeight="1" hidden="1">
      <c r="A68" s="85">
        <f>EOMONTH(A69,0)+1</f>
        <v>39783</v>
      </c>
      <c r="B68" s="337"/>
      <c r="C68" s="592">
        <v>1319.11</v>
      </c>
      <c r="D68" s="593"/>
      <c r="E68" s="588">
        <f aca="true" t="shared" si="72" ref="E68:E73">IF(C68="","",(C68-C69)*600)</f>
        <v>38957.9999999999</v>
      </c>
      <c r="F68" s="589"/>
      <c r="G68" s="590">
        <f t="shared" si="70"/>
        <v>1298.5999999999965</v>
      </c>
      <c r="H68" s="591"/>
      <c r="I68" s="592">
        <v>673.25</v>
      </c>
      <c r="J68" s="593"/>
      <c r="K68" s="588">
        <f aca="true" t="shared" si="73" ref="K68:K73">IF(I68="","",(I68-I69)*600)</f>
        <v>25992.00000000003</v>
      </c>
      <c r="L68" s="589"/>
      <c r="M68" s="590">
        <f t="shared" si="71"/>
        <v>866.400000000001</v>
      </c>
      <c r="N68" s="591"/>
      <c r="O68" s="583">
        <f t="shared" si="67"/>
        <v>64949.99999999993</v>
      </c>
      <c r="P68" s="594"/>
      <c r="Q68" s="595">
        <f aca="true" t="shared" si="74" ref="Q68:Q73">IF(O68="","",O68/DATEDIF($A69,$A68,"d"))</f>
        <v>2164.9999999999977</v>
      </c>
      <c r="R68" s="594"/>
      <c r="S68" s="192">
        <f t="shared" si="68"/>
        <v>0.4001847575057746</v>
      </c>
      <c r="T68" s="148">
        <f ca="1" t="shared" si="69"/>
        <v>0.42591281082782456</v>
      </c>
      <c r="U68" s="241">
        <v>39787</v>
      </c>
      <c r="V68" s="257">
        <v>0.4583333333333333</v>
      </c>
      <c r="W68" s="258">
        <v>0.5069444444444444</v>
      </c>
      <c r="X68" s="243" t="s">
        <v>271</v>
      </c>
      <c r="Y68" s="242">
        <v>12</v>
      </c>
    </row>
    <row r="69" spans="1:25" ht="12" customHeight="1" hidden="1">
      <c r="A69" s="85">
        <f>EOMONTH(A70,0)+1</f>
        <v>39753</v>
      </c>
      <c r="B69" s="337"/>
      <c r="C69" s="592">
        <v>1254.18</v>
      </c>
      <c r="D69" s="593"/>
      <c r="E69" s="588">
        <f t="shared" si="72"/>
        <v>52529.99999999997</v>
      </c>
      <c r="F69" s="589"/>
      <c r="G69" s="590">
        <f t="shared" si="70"/>
        <v>1694.5161290322571</v>
      </c>
      <c r="H69" s="591"/>
      <c r="I69" s="592">
        <v>629.93</v>
      </c>
      <c r="J69" s="593"/>
      <c r="K69" s="588">
        <f t="shared" si="73"/>
        <v>22169.99999999996</v>
      </c>
      <c r="L69" s="589"/>
      <c r="M69" s="590">
        <f t="shared" si="71"/>
        <v>715.1612903225794</v>
      </c>
      <c r="N69" s="591"/>
      <c r="O69" s="583">
        <f aca="true" t="shared" si="75" ref="O69:O74">IF(I69="","",E69+K69)</f>
        <v>74699.99999999993</v>
      </c>
      <c r="P69" s="594"/>
      <c r="Q69" s="595">
        <f t="shared" si="74"/>
        <v>2409.6774193548363</v>
      </c>
      <c r="R69" s="594"/>
      <c r="S69" s="192">
        <f t="shared" si="68"/>
        <v>0.29678714859437727</v>
      </c>
      <c r="T69" s="148">
        <f ca="1" t="shared" si="69"/>
        <v>0.4572095892825661</v>
      </c>
      <c r="U69" s="241">
        <v>39757</v>
      </c>
      <c r="V69" s="257">
        <v>0.4791666666666667</v>
      </c>
      <c r="W69" s="258">
        <v>0.5416666666666666</v>
      </c>
      <c r="X69" s="243" t="s">
        <v>270</v>
      </c>
      <c r="Y69" s="242">
        <v>21</v>
      </c>
    </row>
    <row r="70" spans="1:25" ht="12" customHeight="1" hidden="1">
      <c r="A70" s="85">
        <f>EOMONTH(A71,0)+1</f>
        <v>39722</v>
      </c>
      <c r="B70" s="337"/>
      <c r="C70" s="592">
        <v>1166.63</v>
      </c>
      <c r="D70" s="593"/>
      <c r="E70" s="588">
        <f t="shared" si="72"/>
        <v>54420.00000000003</v>
      </c>
      <c r="F70" s="589"/>
      <c r="G70" s="590">
        <f t="shared" si="70"/>
        <v>1814.000000000001</v>
      </c>
      <c r="H70" s="591"/>
      <c r="I70" s="592">
        <v>592.98</v>
      </c>
      <c r="J70" s="593"/>
      <c r="K70" s="588">
        <f t="shared" si="73"/>
        <v>28164.000000000033</v>
      </c>
      <c r="L70" s="589"/>
      <c r="M70" s="590">
        <f t="shared" si="71"/>
        <v>938.8000000000011</v>
      </c>
      <c r="N70" s="591"/>
      <c r="O70" s="583">
        <f t="shared" si="75"/>
        <v>82584.00000000006</v>
      </c>
      <c r="P70" s="594"/>
      <c r="Q70" s="595">
        <f t="shared" si="74"/>
        <v>2752.800000000002</v>
      </c>
      <c r="R70" s="594"/>
      <c r="S70" s="192">
        <f t="shared" si="68"/>
        <v>0.341034582970067</v>
      </c>
      <c r="T70" s="148">
        <f ca="1" t="shared" si="69"/>
        <v>0.4425154320987658</v>
      </c>
      <c r="U70" s="241">
        <v>39727</v>
      </c>
      <c r="V70" s="257">
        <v>0.4444444444444444</v>
      </c>
      <c r="W70" s="258">
        <v>0.5069444444444444</v>
      </c>
      <c r="X70" s="243" t="s">
        <v>269</v>
      </c>
      <c r="Y70" s="242">
        <v>21</v>
      </c>
    </row>
    <row r="71" spans="1:25" ht="12" customHeight="1" hidden="1">
      <c r="A71" s="85">
        <f>EOMONTH(A72,0)+1</f>
        <v>39692</v>
      </c>
      <c r="B71" s="337"/>
      <c r="C71" s="592">
        <v>1075.93</v>
      </c>
      <c r="D71" s="593"/>
      <c r="E71" s="588">
        <f t="shared" si="72"/>
        <v>63552.000000000044</v>
      </c>
      <c r="F71" s="589"/>
      <c r="G71" s="590">
        <f t="shared" si="70"/>
        <v>2050.0645161290336</v>
      </c>
      <c r="H71" s="591"/>
      <c r="I71" s="592">
        <v>546.04</v>
      </c>
      <c r="J71" s="593"/>
      <c r="K71" s="588">
        <f t="shared" si="73"/>
        <v>30827.999999999964</v>
      </c>
      <c r="L71" s="589"/>
      <c r="M71" s="590">
        <f t="shared" si="71"/>
        <v>994.4516129032246</v>
      </c>
      <c r="N71" s="591"/>
      <c r="O71" s="583">
        <f t="shared" si="75"/>
        <v>94380</v>
      </c>
      <c r="P71" s="594"/>
      <c r="Q71" s="595">
        <f t="shared" si="74"/>
        <v>3044.516129032258</v>
      </c>
      <c r="R71" s="594"/>
      <c r="S71" s="192">
        <f aca="true" t="shared" si="76" ref="S71:S76">IF(O71="","",K71/O71)</f>
        <v>0.3266369993642717</v>
      </c>
      <c r="T71" s="148">
        <f aca="true" ca="1" t="shared" si="77" ref="T71:T76">IF(Q71="","",Q71/INDIRECT("E"&amp;V$3+ROW(T72)-14)/24)</f>
        <v>0.4245476529775014</v>
      </c>
      <c r="U71" s="241">
        <v>39699</v>
      </c>
      <c r="V71" s="257">
        <v>0.46527777777777773</v>
      </c>
      <c r="W71" s="258">
        <v>0.5208333333333334</v>
      </c>
      <c r="X71" s="243" t="s">
        <v>268</v>
      </c>
      <c r="Y71" s="242">
        <v>29</v>
      </c>
    </row>
    <row r="72" spans="1:25" ht="12" customHeight="1" hidden="1">
      <c r="A72" s="85">
        <f>EOMONTH(A73,0)+1</f>
        <v>39661</v>
      </c>
      <c r="B72" s="337"/>
      <c r="C72" s="592">
        <v>970.01</v>
      </c>
      <c r="D72" s="593"/>
      <c r="E72" s="588">
        <f t="shared" si="72"/>
        <v>69504.00000000001</v>
      </c>
      <c r="F72" s="589"/>
      <c r="G72" s="590">
        <f t="shared" si="70"/>
        <v>2242.0645161290327</v>
      </c>
      <c r="H72" s="591"/>
      <c r="I72" s="592">
        <v>494.66</v>
      </c>
      <c r="J72" s="593"/>
      <c r="K72" s="588">
        <f t="shared" si="73"/>
        <v>30540.000000000022</v>
      </c>
      <c r="L72" s="589"/>
      <c r="M72" s="590">
        <f t="shared" si="71"/>
        <v>985.1612903225813</v>
      </c>
      <c r="N72" s="591"/>
      <c r="O72" s="583">
        <f t="shared" si="75"/>
        <v>100044.00000000003</v>
      </c>
      <c r="P72" s="594"/>
      <c r="Q72" s="595">
        <f t="shared" si="74"/>
        <v>3227.225806451614</v>
      </c>
      <c r="R72" s="594"/>
      <c r="S72" s="192">
        <f t="shared" si="76"/>
        <v>0.30526568309943636</v>
      </c>
      <c r="T72" s="148">
        <f ca="1" t="shared" si="77"/>
        <v>0.4491240545607346</v>
      </c>
      <c r="U72" s="241">
        <v>39665</v>
      </c>
      <c r="V72" s="257">
        <v>0.4375</v>
      </c>
      <c r="W72" s="258">
        <v>0.4895833333333333</v>
      </c>
      <c r="X72" s="243" t="s">
        <v>195</v>
      </c>
      <c r="Y72" s="242">
        <v>28</v>
      </c>
    </row>
    <row r="73" spans="1:25" ht="12" customHeight="1" hidden="1">
      <c r="A73" s="85">
        <f>EOMONTH(A74,0)+1</f>
        <v>39630</v>
      </c>
      <c r="B73" s="337"/>
      <c r="C73" s="592">
        <v>854.17</v>
      </c>
      <c r="D73" s="593"/>
      <c r="E73" s="588">
        <f t="shared" si="72"/>
        <v>56057.99999999997</v>
      </c>
      <c r="F73" s="589"/>
      <c r="G73" s="590">
        <f aca="true" t="shared" si="78" ref="G73:G80">IF(C73="","",E73/DATEDIF($A74,$A73,"d"))</f>
        <v>1868.599999999999</v>
      </c>
      <c r="H73" s="591"/>
      <c r="I73" s="592">
        <v>443.76</v>
      </c>
      <c r="J73" s="593"/>
      <c r="K73" s="588">
        <f t="shared" si="73"/>
        <v>25541.999999999996</v>
      </c>
      <c r="L73" s="589"/>
      <c r="M73" s="590">
        <f aca="true" t="shared" si="79" ref="M73:M80">IF(I73="","",K73/DATEDIF($A74,$A73,"d"))</f>
        <v>851.3999999999999</v>
      </c>
      <c r="N73" s="591"/>
      <c r="O73" s="583">
        <f t="shared" si="75"/>
        <v>81599.99999999997</v>
      </c>
      <c r="P73" s="594"/>
      <c r="Q73" s="595">
        <f t="shared" si="74"/>
        <v>2719.999999999999</v>
      </c>
      <c r="R73" s="594"/>
      <c r="S73" s="192">
        <f t="shared" si="76"/>
        <v>0.31301470588235303</v>
      </c>
      <c r="T73" s="148">
        <f ca="1" t="shared" si="77"/>
        <v>0.44236273744470456</v>
      </c>
      <c r="U73" s="241">
        <v>39636</v>
      </c>
      <c r="V73" s="257">
        <v>0.625</v>
      </c>
      <c r="W73" s="258">
        <v>0.6736111111111112</v>
      </c>
      <c r="X73" s="243" t="s">
        <v>267</v>
      </c>
      <c r="Y73" s="242">
        <v>34</v>
      </c>
    </row>
    <row r="74" spans="1:25" ht="12" customHeight="1" hidden="1">
      <c r="A74" s="85">
        <f>EOMONTH(A75,0)+1</f>
        <v>39600</v>
      </c>
      <c r="B74" s="337"/>
      <c r="C74" s="592">
        <v>760.74</v>
      </c>
      <c r="D74" s="593"/>
      <c r="E74" s="588">
        <f aca="true" t="shared" si="80" ref="E74:E79">IF(C74="","",(C74-C75)*600)</f>
        <v>43601.99999999998</v>
      </c>
      <c r="F74" s="589"/>
      <c r="G74" s="590">
        <f t="shared" si="78"/>
        <v>1406.5161290322574</v>
      </c>
      <c r="H74" s="591"/>
      <c r="I74" s="592">
        <v>401.19</v>
      </c>
      <c r="J74" s="593"/>
      <c r="K74" s="588">
        <f aca="true" t="shared" si="81" ref="K74:K79">IF(I74="","",(I74-I75)*600)</f>
        <v>31566.000000000007</v>
      </c>
      <c r="L74" s="589"/>
      <c r="M74" s="590">
        <f t="shared" si="79"/>
        <v>1018.2580645161293</v>
      </c>
      <c r="N74" s="591"/>
      <c r="O74" s="583">
        <f t="shared" si="75"/>
        <v>75167.99999999999</v>
      </c>
      <c r="P74" s="594"/>
      <c r="Q74" s="595">
        <f aca="true" t="shared" si="82" ref="Q74:Q79">IF(O74="","",O74/DATEDIF($A75,$A74,"d"))</f>
        <v>2424.774193548387</v>
      </c>
      <c r="R74" s="594"/>
      <c r="S74" s="192">
        <f t="shared" si="76"/>
        <v>0.41993933588761195</v>
      </c>
      <c r="T74" s="148">
        <f ca="1" t="shared" si="77"/>
        <v>0.4502328790753838</v>
      </c>
      <c r="U74" s="241">
        <v>39605</v>
      </c>
      <c r="V74" s="257">
        <v>0.4444444444444444</v>
      </c>
      <c r="W74" s="258">
        <v>0.5069444444444444</v>
      </c>
      <c r="X74" s="243" t="s">
        <v>195</v>
      </c>
      <c r="Y74" s="242">
        <v>22</v>
      </c>
    </row>
    <row r="75" spans="1:25" ht="12" customHeight="1" hidden="1">
      <c r="A75" s="85">
        <f>EOMONTH(A76,0)+1</f>
        <v>39569</v>
      </c>
      <c r="B75" s="337"/>
      <c r="C75" s="592">
        <v>688.07</v>
      </c>
      <c r="D75" s="593"/>
      <c r="E75" s="588">
        <f t="shared" si="80"/>
        <v>46056.000000000065</v>
      </c>
      <c r="F75" s="589"/>
      <c r="G75" s="590">
        <f t="shared" si="78"/>
        <v>1535.200000000002</v>
      </c>
      <c r="H75" s="591"/>
      <c r="I75" s="592">
        <v>348.58</v>
      </c>
      <c r="J75" s="593"/>
      <c r="K75" s="588">
        <f t="shared" si="81"/>
        <v>19919.999999999993</v>
      </c>
      <c r="L75" s="589"/>
      <c r="M75" s="590">
        <f t="shared" si="79"/>
        <v>663.9999999999998</v>
      </c>
      <c r="N75" s="591"/>
      <c r="O75" s="583">
        <f aca="true" t="shared" si="83" ref="O75:O80">IF(I75="","",E75+K75)</f>
        <v>65976.00000000006</v>
      </c>
      <c r="P75" s="594"/>
      <c r="Q75" s="595">
        <f t="shared" si="82"/>
        <v>2199.200000000002</v>
      </c>
      <c r="R75" s="594"/>
      <c r="S75" s="192">
        <f t="shared" si="76"/>
        <v>0.3019279738086573</v>
      </c>
      <c r="T75" s="148">
        <f ca="1" t="shared" si="77"/>
        <v>0.3946310651737012</v>
      </c>
      <c r="U75" s="241">
        <v>39576</v>
      </c>
      <c r="V75" s="257">
        <v>0.5972222222222222</v>
      </c>
      <c r="W75" s="258">
        <v>0.6319444444444444</v>
      </c>
      <c r="X75" s="243" t="s">
        <v>195</v>
      </c>
      <c r="Y75" s="242">
        <v>23</v>
      </c>
    </row>
    <row r="76" spans="1:25" ht="12" customHeight="1" hidden="1">
      <c r="A76" s="85">
        <f>EOMONTH(A77,0)+1</f>
        <v>39539</v>
      </c>
      <c r="B76" s="337"/>
      <c r="C76" s="592">
        <v>611.31</v>
      </c>
      <c r="D76" s="593"/>
      <c r="E76" s="588">
        <f t="shared" si="80"/>
        <v>45959.99999999994</v>
      </c>
      <c r="F76" s="589"/>
      <c r="G76" s="590">
        <f t="shared" si="78"/>
        <v>1482.5806451612884</v>
      </c>
      <c r="H76" s="591"/>
      <c r="I76" s="592">
        <v>315.38</v>
      </c>
      <c r="J76" s="593"/>
      <c r="K76" s="588">
        <f t="shared" si="81"/>
        <v>24617.999999999985</v>
      </c>
      <c r="L76" s="589"/>
      <c r="M76" s="590">
        <f t="shared" si="79"/>
        <v>794.1290322580641</v>
      </c>
      <c r="N76" s="591"/>
      <c r="O76" s="583">
        <f t="shared" si="83"/>
        <v>70577.99999999993</v>
      </c>
      <c r="P76" s="594"/>
      <c r="Q76" s="595">
        <f t="shared" si="82"/>
        <v>2276.7096774193524</v>
      </c>
      <c r="R76" s="594"/>
      <c r="S76" s="192">
        <f t="shared" si="76"/>
        <v>0.3488055768086374</v>
      </c>
      <c r="T76" s="148">
        <f ca="1" t="shared" si="77"/>
        <v>0.4331639416703486</v>
      </c>
      <c r="U76" s="241">
        <v>39547</v>
      </c>
      <c r="V76" s="257">
        <v>0.5694444444444444</v>
      </c>
      <c r="W76" s="258">
        <v>0.625</v>
      </c>
      <c r="X76" s="243" t="s">
        <v>195</v>
      </c>
      <c r="Y76" s="242">
        <v>18</v>
      </c>
    </row>
    <row r="77" spans="1:25" ht="12" customHeight="1" hidden="1">
      <c r="A77" s="85">
        <f>EOMONTH(A78,0)+1</f>
        <v>39508</v>
      </c>
      <c r="B77" s="337"/>
      <c r="C77" s="592">
        <v>534.71</v>
      </c>
      <c r="D77" s="593"/>
      <c r="E77" s="588">
        <f t="shared" si="80"/>
        <v>47868.000000000015</v>
      </c>
      <c r="F77" s="589"/>
      <c r="G77" s="590">
        <f t="shared" si="78"/>
        <v>1650.620689655173</v>
      </c>
      <c r="H77" s="591"/>
      <c r="I77" s="592">
        <v>274.35</v>
      </c>
      <c r="J77" s="593"/>
      <c r="K77" s="588">
        <f t="shared" si="81"/>
        <v>22068.00000000002</v>
      </c>
      <c r="L77" s="589"/>
      <c r="M77" s="590">
        <f t="shared" si="79"/>
        <v>760.96551724138</v>
      </c>
      <c r="N77" s="591"/>
      <c r="O77" s="583">
        <f t="shared" si="83"/>
        <v>69936.00000000003</v>
      </c>
      <c r="P77" s="594"/>
      <c r="Q77" s="595">
        <f t="shared" si="82"/>
        <v>2411.5862068965525</v>
      </c>
      <c r="R77" s="594"/>
      <c r="S77" s="192">
        <f aca="true" t="shared" si="84" ref="S77:S82">IF(O77="","",K77/O77)</f>
        <v>0.31554564172958144</v>
      </c>
      <c r="T77" s="148">
        <f aca="true" ca="1" t="shared" si="85" ref="T77:T82">IF(Q77="","",Q77/INDIRECT("E"&amp;V$3+ROW(T78)-14)/24)</f>
        <v>0.43274228518815544</v>
      </c>
      <c r="U77" s="241">
        <v>39512</v>
      </c>
      <c r="V77" s="257">
        <v>0.4861111111111111</v>
      </c>
      <c r="W77" s="258">
        <v>0.5416666666666666</v>
      </c>
      <c r="X77" s="243" t="s">
        <v>195</v>
      </c>
      <c r="Y77" s="242">
        <v>6</v>
      </c>
    </row>
    <row r="78" spans="1:25" ht="12" customHeight="1" hidden="1">
      <c r="A78" s="85">
        <f>EOMONTH(A79,0)+1</f>
        <v>39479</v>
      </c>
      <c r="B78" s="337"/>
      <c r="C78" s="592">
        <v>454.93</v>
      </c>
      <c r="D78" s="593"/>
      <c r="E78" s="588">
        <f t="shared" si="80"/>
        <v>41861.999999999985</v>
      </c>
      <c r="F78" s="589"/>
      <c r="G78" s="590">
        <f t="shared" si="78"/>
        <v>1350.387096774193</v>
      </c>
      <c r="H78" s="591"/>
      <c r="I78" s="592">
        <v>237.57</v>
      </c>
      <c r="J78" s="593"/>
      <c r="K78" s="588">
        <f t="shared" si="81"/>
        <v>31811.99999999999</v>
      </c>
      <c r="L78" s="589"/>
      <c r="M78" s="590">
        <f t="shared" si="79"/>
        <v>1026.1935483870964</v>
      </c>
      <c r="N78" s="591"/>
      <c r="O78" s="583">
        <f t="shared" si="83"/>
        <v>73673.99999999997</v>
      </c>
      <c r="P78" s="594"/>
      <c r="Q78" s="595">
        <f t="shared" si="82"/>
        <v>2376.5806451612893</v>
      </c>
      <c r="R78" s="594"/>
      <c r="S78" s="192">
        <f t="shared" si="84"/>
        <v>0.43179412004234874</v>
      </c>
      <c r="T78" s="148">
        <f ca="1" t="shared" si="85"/>
        <v>0.4412842849749869</v>
      </c>
      <c r="U78" s="241">
        <v>39483</v>
      </c>
      <c r="V78" s="257">
        <v>0.5833333333333334</v>
      </c>
      <c r="W78" s="258">
        <v>0.6354166666666666</v>
      </c>
      <c r="X78" s="243" t="s">
        <v>262</v>
      </c>
      <c r="Y78" s="242">
        <v>2</v>
      </c>
    </row>
    <row r="79" spans="1:25" ht="12" customHeight="1" hidden="1">
      <c r="A79" s="85">
        <f>EOMONTH(A80,0)+1</f>
        <v>39448</v>
      </c>
      <c r="B79" s="337"/>
      <c r="C79" s="592">
        <v>385.16</v>
      </c>
      <c r="D79" s="593"/>
      <c r="E79" s="588">
        <f t="shared" si="80"/>
        <v>44496.000000000015</v>
      </c>
      <c r="F79" s="589"/>
      <c r="G79" s="590">
        <f t="shared" si="78"/>
        <v>1435.3548387096778</v>
      </c>
      <c r="H79" s="591"/>
      <c r="I79" s="592">
        <v>184.55</v>
      </c>
      <c r="J79" s="593"/>
      <c r="K79" s="588">
        <f t="shared" si="81"/>
        <v>27468</v>
      </c>
      <c r="L79" s="589"/>
      <c r="M79" s="590">
        <f t="shared" si="79"/>
        <v>886.0645161290323</v>
      </c>
      <c r="N79" s="591"/>
      <c r="O79" s="583">
        <f t="shared" si="83"/>
        <v>71964.00000000001</v>
      </c>
      <c r="P79" s="594"/>
      <c r="Q79" s="595">
        <f t="shared" si="82"/>
        <v>2321.41935483871</v>
      </c>
      <c r="R79" s="594"/>
      <c r="S79" s="192">
        <f t="shared" si="84"/>
        <v>0.38169084542271126</v>
      </c>
      <c r="T79" s="148">
        <f ca="1" t="shared" si="85"/>
        <v>0.4541117673784644</v>
      </c>
      <c r="U79" s="241">
        <v>39456</v>
      </c>
      <c r="V79" s="257">
        <v>0.5833333333333334</v>
      </c>
      <c r="W79" s="258">
        <v>0.6458333333333334</v>
      </c>
      <c r="X79" s="243" t="s">
        <v>261</v>
      </c>
      <c r="Y79" s="242">
        <v>5</v>
      </c>
    </row>
    <row r="80" spans="1:25" ht="12" customHeight="1" hidden="1">
      <c r="A80" s="85">
        <f>EOMONTH(A81,0)+1</f>
        <v>39417</v>
      </c>
      <c r="B80" s="337"/>
      <c r="C80" s="592">
        <v>311</v>
      </c>
      <c r="D80" s="593"/>
      <c r="E80" s="588">
        <f aca="true" t="shared" si="86" ref="E80:E85">IF(C80="","",(C80-C81)*600)</f>
        <v>47190</v>
      </c>
      <c r="F80" s="589"/>
      <c r="G80" s="590">
        <f t="shared" si="78"/>
        <v>1573</v>
      </c>
      <c r="H80" s="591"/>
      <c r="I80" s="592">
        <v>138.77</v>
      </c>
      <c r="J80" s="593"/>
      <c r="K80" s="588">
        <f aca="true" t="shared" si="87" ref="K80:K85">IF(I80="","",(I80-I81)*600)</f>
        <v>20538.000000000004</v>
      </c>
      <c r="L80" s="589"/>
      <c r="M80" s="590">
        <f t="shared" si="79"/>
        <v>684.6000000000001</v>
      </c>
      <c r="N80" s="591"/>
      <c r="O80" s="583">
        <f t="shared" si="83"/>
        <v>67728</v>
      </c>
      <c r="P80" s="594"/>
      <c r="Q80" s="595">
        <f aca="true" t="shared" si="88" ref="Q80:Q85">IF(O80="","",O80/DATEDIF($A81,$A80,"d"))</f>
        <v>2257.6</v>
      </c>
      <c r="R80" s="594"/>
      <c r="S80" s="192">
        <f t="shared" si="84"/>
        <v>0.3032423812898654</v>
      </c>
      <c r="T80" s="148">
        <f ca="1" t="shared" si="85"/>
        <v>0.43915343915343913</v>
      </c>
      <c r="U80" s="241">
        <v>39422</v>
      </c>
      <c r="V80" s="257">
        <v>0.4791666666666667</v>
      </c>
      <c r="W80" s="258">
        <v>0.5833333333333334</v>
      </c>
      <c r="X80" s="243" t="s">
        <v>195</v>
      </c>
      <c r="Y80" s="242">
        <v>16</v>
      </c>
    </row>
    <row r="81" spans="1:25" ht="12" customHeight="1" hidden="1">
      <c r="A81" s="85">
        <f>EOMONTH(A82,0)+1</f>
        <v>39387</v>
      </c>
      <c r="B81" s="337"/>
      <c r="C81" s="592">
        <v>232.35</v>
      </c>
      <c r="D81" s="593"/>
      <c r="E81" s="588">
        <f t="shared" si="86"/>
        <v>38346</v>
      </c>
      <c r="F81" s="589"/>
      <c r="G81" s="590">
        <f>IF(C81="","",E81/DATEDIF($A82,$A81,"d"))</f>
        <v>1236.967741935484</v>
      </c>
      <c r="H81" s="591"/>
      <c r="I81" s="592">
        <v>104.54</v>
      </c>
      <c r="J81" s="593"/>
      <c r="K81" s="588">
        <f t="shared" si="87"/>
        <v>15582.000000000007</v>
      </c>
      <c r="L81" s="589"/>
      <c r="M81" s="590">
        <f>IF(I81="","",K81/DATEDIF($A82,$A81,"d"))</f>
        <v>502.6451612903228</v>
      </c>
      <c r="N81" s="591"/>
      <c r="O81" s="583">
        <f aca="true" t="shared" si="89" ref="O81:O86">IF(I81="","",E81+K81)</f>
        <v>53928.00000000001</v>
      </c>
      <c r="P81" s="594"/>
      <c r="Q81" s="595">
        <f t="shared" si="88"/>
        <v>1739.6129032258066</v>
      </c>
      <c r="R81" s="594"/>
      <c r="S81" s="192">
        <f t="shared" si="84"/>
        <v>0.28894080996884747</v>
      </c>
      <c r="T81" s="148">
        <f ca="1" t="shared" si="85"/>
        <v>0.33650822176296175</v>
      </c>
      <c r="U81" s="241">
        <v>39391</v>
      </c>
      <c r="V81" s="257">
        <v>0.5833333333333334</v>
      </c>
      <c r="W81" s="258">
        <v>0.6875</v>
      </c>
      <c r="X81" s="243" t="s">
        <v>195</v>
      </c>
      <c r="Y81" s="242">
        <v>18</v>
      </c>
    </row>
    <row r="82" spans="1:25" ht="12" customHeight="1" hidden="1">
      <c r="A82" s="85">
        <f>EOMONTH(A83,0)+1</f>
        <v>39356</v>
      </c>
      <c r="B82" s="337"/>
      <c r="C82" s="592">
        <v>168.44</v>
      </c>
      <c r="D82" s="593"/>
      <c r="E82" s="588">
        <f t="shared" si="86"/>
        <v>0</v>
      </c>
      <c r="F82" s="589"/>
      <c r="G82" s="590">
        <f>IF(C82="","",E82/DATEDIF($A83,$A82,"d"))</f>
        <v>0</v>
      </c>
      <c r="H82" s="591"/>
      <c r="I82" s="592">
        <v>78.57</v>
      </c>
      <c r="J82" s="593"/>
      <c r="K82" s="588">
        <f t="shared" si="87"/>
        <v>41.99999999999591</v>
      </c>
      <c r="L82" s="589"/>
      <c r="M82" s="590">
        <f>IF(I82="","",K82/DATEDIF($A83,$A82,"d"))</f>
        <v>20.999999999997954</v>
      </c>
      <c r="N82" s="591"/>
      <c r="O82" s="583">
        <f t="shared" si="89"/>
        <v>41.99999999999591</v>
      </c>
      <c r="P82" s="594"/>
      <c r="Q82" s="595">
        <f t="shared" si="88"/>
        <v>20.999999999997954</v>
      </c>
      <c r="R82" s="594"/>
      <c r="S82" s="192">
        <f t="shared" si="84"/>
        <v>1</v>
      </c>
      <c r="T82" s="148">
        <f ca="1" t="shared" si="85"/>
        <v>0.4861111111110637</v>
      </c>
      <c r="U82" s="241">
        <v>39366</v>
      </c>
      <c r="V82" s="257">
        <v>0.4375</v>
      </c>
      <c r="W82" s="258">
        <v>0.5416666666666666</v>
      </c>
      <c r="X82" s="243" t="s">
        <v>195</v>
      </c>
      <c r="Y82" s="242">
        <v>20</v>
      </c>
    </row>
    <row r="83" spans="1:25" ht="12" customHeight="1" hidden="1">
      <c r="A83" s="370">
        <v>39354</v>
      </c>
      <c r="B83" s="371"/>
      <c r="C83" s="592">
        <v>168.44</v>
      </c>
      <c r="D83" s="593"/>
      <c r="E83" s="588">
        <f t="shared" si="86"/>
        <v>0</v>
      </c>
      <c r="F83" s="589"/>
      <c r="G83" s="590">
        <f>IF(C83="","",E83/DATEDIF($A86,$A83,"d"))</f>
        <v>0</v>
      </c>
      <c r="H83" s="591"/>
      <c r="I83" s="592">
        <v>78.5</v>
      </c>
      <c r="J83" s="593"/>
      <c r="K83" s="588">
        <f t="shared" si="87"/>
        <v>0</v>
      </c>
      <c r="L83" s="589"/>
      <c r="M83" s="590">
        <f>IF(I83="","",K83/DATEDIF($A86,$A83,"d"))</f>
        <v>0</v>
      </c>
      <c r="N83" s="591"/>
      <c r="O83" s="583">
        <f t="shared" si="89"/>
        <v>0</v>
      </c>
      <c r="P83" s="594"/>
      <c r="Q83" s="595">
        <f t="shared" si="88"/>
        <v>0</v>
      </c>
      <c r="R83" s="594"/>
      <c r="S83" s="213"/>
      <c r="T83" s="214"/>
      <c r="U83" s="241">
        <v>39354</v>
      </c>
      <c r="V83" s="257">
        <v>0.6666666666666666</v>
      </c>
      <c r="W83" s="258"/>
      <c r="X83" s="243"/>
      <c r="Y83" s="242"/>
    </row>
    <row r="84" spans="1:25" ht="12" customHeight="1" hidden="1">
      <c r="A84" s="354">
        <v>39322</v>
      </c>
      <c r="B84" s="355"/>
      <c r="C84" s="592">
        <v>168.44</v>
      </c>
      <c r="D84" s="593"/>
      <c r="E84" s="588">
        <f t="shared" si="86"/>
        <v>21336</v>
      </c>
      <c r="F84" s="589"/>
      <c r="G84" s="590">
        <f>IF(C84="","",E84/DATEDIF($A85,$A84,"d"))</f>
        <v>790.2222222222222</v>
      </c>
      <c r="H84" s="591"/>
      <c r="I84" s="592">
        <v>78.5</v>
      </c>
      <c r="J84" s="593"/>
      <c r="K84" s="588">
        <f t="shared" si="87"/>
        <v>7122.000000000003</v>
      </c>
      <c r="L84" s="589"/>
      <c r="M84" s="590">
        <f>IF(I84="","",K84/DATEDIF($A87,$A84,"d"))</f>
        <v>104.7352941176471</v>
      </c>
      <c r="N84" s="591"/>
      <c r="O84" s="583">
        <f t="shared" si="89"/>
        <v>28458.000000000004</v>
      </c>
      <c r="P84" s="594"/>
      <c r="Q84" s="595">
        <f t="shared" si="88"/>
        <v>1054.0000000000002</v>
      </c>
      <c r="R84" s="594"/>
      <c r="S84" s="192">
        <f>IF(O84="","",K84/O84)</f>
        <v>0.2502635462787266</v>
      </c>
      <c r="T84" s="148">
        <f ca="1">IF(Q84="","",Q84/INDIRECT("E"&amp;V$3+ROW(T85)-14)/24)</f>
        <v>0.15474512567535825</v>
      </c>
      <c r="U84" s="241">
        <v>39322</v>
      </c>
      <c r="V84" s="257"/>
      <c r="W84" s="258"/>
      <c r="X84" s="243"/>
      <c r="Y84" s="242"/>
    </row>
    <row r="85" spans="1:25" ht="12" customHeight="1" hidden="1">
      <c r="A85" s="85">
        <f>EOMONTH(A86,0)+1</f>
        <v>39295</v>
      </c>
      <c r="B85" s="337"/>
      <c r="C85" s="592">
        <v>132.88</v>
      </c>
      <c r="D85" s="593"/>
      <c r="E85" s="588">
        <f t="shared" si="86"/>
        <v>59478</v>
      </c>
      <c r="F85" s="589"/>
      <c r="G85" s="590">
        <f>IF(C85="","",E85/DATEDIF($A86,$A85,"d"))</f>
        <v>1918.6451612903227</v>
      </c>
      <c r="H85" s="591"/>
      <c r="I85" s="592">
        <v>66.63</v>
      </c>
      <c r="J85" s="593"/>
      <c r="K85" s="588">
        <f t="shared" si="87"/>
        <v>29927.999999999996</v>
      </c>
      <c r="L85" s="589"/>
      <c r="M85" s="590">
        <f>IF(I85="","",K85/DATEDIF($A88,$A85,"d"))</f>
        <v>729.951219512195</v>
      </c>
      <c r="N85" s="591"/>
      <c r="O85" s="583">
        <f t="shared" si="89"/>
        <v>89406</v>
      </c>
      <c r="P85" s="594"/>
      <c r="Q85" s="595">
        <f t="shared" si="88"/>
        <v>2884.064516129032</v>
      </c>
      <c r="R85" s="594"/>
      <c r="S85" s="192">
        <f>IF(O85="","",K85/O85)</f>
        <v>0.3347426347225018</v>
      </c>
      <c r="T85" s="148">
        <f ca="1">IF(Q85="","",Q85/INDIRECT("E"&amp;V$3+ROW(T86)-14)/24)</f>
        <v>0.4604189840563589</v>
      </c>
      <c r="U85" s="241">
        <v>39297</v>
      </c>
      <c r="V85" s="257">
        <v>0.47222222222222227</v>
      </c>
      <c r="W85" s="258">
        <v>0.5416666666666666</v>
      </c>
      <c r="X85" s="243" t="s">
        <v>195</v>
      </c>
      <c r="Y85" s="242">
        <v>38</v>
      </c>
    </row>
    <row r="86" spans="1:25" ht="12" customHeight="1" hidden="1">
      <c r="A86" s="85">
        <f>EOMONTH(A87,0)+1</f>
        <v>39264</v>
      </c>
      <c r="B86" s="337"/>
      <c r="C86" s="592">
        <v>33.75</v>
      </c>
      <c r="D86" s="593"/>
      <c r="E86" s="588">
        <f>E87+E88</f>
        <v>57450.99999999994</v>
      </c>
      <c r="F86" s="589"/>
      <c r="G86" s="590">
        <f>IF(C86="","",E86/DATEDIF($A89,$A86,"d"))</f>
        <v>1915.0333333333315</v>
      </c>
      <c r="H86" s="591"/>
      <c r="I86" s="592">
        <v>16.75</v>
      </c>
      <c r="J86" s="593"/>
      <c r="K86" s="588">
        <f>K87+K88</f>
        <v>24343.99999999997</v>
      </c>
      <c r="L86" s="589"/>
      <c r="M86" s="590">
        <f>IF(I86="","",K86/DATEDIF($A89,$A86,"d"))</f>
        <v>811.4666666666657</v>
      </c>
      <c r="N86" s="591"/>
      <c r="O86" s="583">
        <f t="shared" si="89"/>
        <v>81794.99999999991</v>
      </c>
      <c r="P86" s="594"/>
      <c r="Q86" s="595">
        <f>IF(O86="","",O86/DATEDIF($A89,$A86,"d"))</f>
        <v>2726.4999999999973</v>
      </c>
      <c r="R86" s="594"/>
      <c r="S86" s="192">
        <f>IF(O86="","",K86/O86)</f>
        <v>0.29762210404058925</v>
      </c>
      <c r="T86" s="148">
        <f ca="1">IF(Q86="","",Q86/INDIRECT("E"&amp;V$3+ROW(T87)-14)/24)</f>
        <v>0.47217026877251267</v>
      </c>
      <c r="U86" s="241">
        <v>39268</v>
      </c>
      <c r="V86" s="257">
        <v>0.4270833333333333</v>
      </c>
      <c r="W86" s="258">
        <v>0.5208333333333334</v>
      </c>
      <c r="X86" s="243" t="s">
        <v>195</v>
      </c>
      <c r="Y86" s="242">
        <v>21</v>
      </c>
    </row>
    <row r="87" spans="1:25" ht="10.5" customHeight="1" hidden="1">
      <c r="A87" s="354">
        <v>39254</v>
      </c>
      <c r="B87" s="355"/>
      <c r="C87" s="634">
        <v>2.83</v>
      </c>
      <c r="D87" s="635"/>
      <c r="E87" s="604">
        <f>IF(C87="","",(C86-C87)*600)</f>
        <v>18552</v>
      </c>
      <c r="F87" s="605"/>
      <c r="G87" s="338"/>
      <c r="H87" s="339"/>
      <c r="I87" s="634">
        <v>2.83</v>
      </c>
      <c r="J87" s="635"/>
      <c r="K87" s="604">
        <f>IF(I87="","",(I86-I87)*600)</f>
        <v>8352</v>
      </c>
      <c r="L87" s="605"/>
      <c r="M87" s="338" t="s">
        <v>204</v>
      </c>
      <c r="N87" s="339"/>
      <c r="O87" s="340" t="s">
        <v>202</v>
      </c>
      <c r="P87" s="341"/>
      <c r="Q87" s="342"/>
      <c r="R87" s="341"/>
      <c r="S87" s="343"/>
      <c r="T87" s="344"/>
      <c r="U87" s="241"/>
      <c r="V87" s="257"/>
      <c r="W87" s="258"/>
      <c r="X87" s="243"/>
      <c r="Y87" s="242"/>
    </row>
    <row r="88" spans="1:25" ht="10.5" customHeight="1" hidden="1">
      <c r="A88" s="354">
        <v>39254</v>
      </c>
      <c r="B88" s="355"/>
      <c r="C88" s="636">
        <v>36789.7</v>
      </c>
      <c r="D88" s="637"/>
      <c r="E88" s="604">
        <f>IF(C88="","",(C88-C89)*10)</f>
        <v>38898.99999999994</v>
      </c>
      <c r="F88" s="605"/>
      <c r="G88" s="338"/>
      <c r="H88" s="339"/>
      <c r="I88" s="636">
        <v>21618.6</v>
      </c>
      <c r="J88" s="637"/>
      <c r="K88" s="604">
        <f>IF(I88="","",(I88-I89)*10)</f>
        <v>15991.99999999997</v>
      </c>
      <c r="L88" s="605"/>
      <c r="M88" s="338" t="s">
        <v>203</v>
      </c>
      <c r="N88" s="339"/>
      <c r="O88" s="340" t="s">
        <v>205</v>
      </c>
      <c r="P88" s="341"/>
      <c r="Q88" s="342"/>
      <c r="R88" s="341"/>
      <c r="S88" s="343"/>
      <c r="T88" s="344"/>
      <c r="U88" s="241"/>
      <c r="V88" s="257"/>
      <c r="W88" s="258"/>
      <c r="X88" s="243"/>
      <c r="Y88" s="242"/>
    </row>
    <row r="89" spans="1:25" ht="12" customHeight="1" hidden="1">
      <c r="A89" s="85">
        <v>39234</v>
      </c>
      <c r="B89" s="32"/>
      <c r="C89" s="638">
        <v>32899.8</v>
      </c>
      <c r="D89" s="639"/>
      <c r="E89" s="588"/>
      <c r="F89" s="589"/>
      <c r="G89" s="590"/>
      <c r="H89" s="591"/>
      <c r="I89" s="638">
        <v>20019.4</v>
      </c>
      <c r="J89" s="639"/>
      <c r="K89" s="588"/>
      <c r="L89" s="589"/>
      <c r="M89" s="590"/>
      <c r="N89" s="591"/>
      <c r="O89" s="583"/>
      <c r="P89" s="594"/>
      <c r="Q89" s="595"/>
      <c r="R89" s="594"/>
      <c r="S89" s="192"/>
      <c r="T89" s="148"/>
      <c r="U89" s="241">
        <v>39244</v>
      </c>
      <c r="V89" s="257">
        <v>0.4236111111111111</v>
      </c>
      <c r="W89" s="258">
        <v>0.513888888888889</v>
      </c>
      <c r="X89" s="243" t="s">
        <v>195</v>
      </c>
      <c r="Y89" s="242">
        <v>24</v>
      </c>
    </row>
    <row r="90" spans="1:20" ht="4.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2" ht="15.75" customHeight="1">
      <c r="A91" s="35"/>
      <c r="B91" s="35"/>
      <c r="C91" s="35"/>
      <c r="D91" s="35"/>
      <c r="E91" s="35"/>
      <c r="F91" s="35"/>
      <c r="G91" s="35"/>
      <c r="H91" s="297"/>
      <c r="I91" s="297"/>
      <c r="J91" s="297"/>
      <c r="K91" s="297"/>
      <c r="L91" s="2" t="s">
        <v>206</v>
      </c>
      <c r="M91" s="3"/>
      <c r="N91" s="3"/>
      <c r="O91" s="3"/>
      <c r="P91" s="3"/>
      <c r="Q91" s="3"/>
      <c r="R91" s="3"/>
      <c r="S91" s="3"/>
      <c r="T91" s="4"/>
      <c r="U91" s="248"/>
      <c r="V91" s="248"/>
    </row>
    <row r="92" spans="1:22" ht="15.75" customHeight="1">
      <c r="A92" s="28"/>
      <c r="B92" s="29"/>
      <c r="C92" s="2" t="s">
        <v>134</v>
      </c>
      <c r="D92" s="3"/>
      <c r="E92" s="186"/>
      <c r="F92" s="4"/>
      <c r="G92" s="295" t="s">
        <v>23</v>
      </c>
      <c r="H92" s="298"/>
      <c r="I92" s="71" t="s">
        <v>146</v>
      </c>
      <c r="J92" s="212"/>
      <c r="K92" s="303"/>
      <c r="L92" s="153" t="s">
        <v>47</v>
      </c>
      <c r="M92" s="113" t="s">
        <v>47</v>
      </c>
      <c r="N92" s="113" t="s">
        <v>48</v>
      </c>
      <c r="O92" s="63" t="s">
        <v>49</v>
      </c>
      <c r="P92" s="113" t="s">
        <v>50</v>
      </c>
      <c r="Q92" s="63" t="s">
        <v>56</v>
      </c>
      <c r="R92" s="63" t="s">
        <v>190</v>
      </c>
      <c r="S92" s="64" t="s">
        <v>51</v>
      </c>
      <c r="T92" s="67" t="s">
        <v>170</v>
      </c>
      <c r="U92" s="249" t="s">
        <v>126</v>
      </c>
      <c r="V92" s="249" t="s">
        <v>173</v>
      </c>
    </row>
    <row r="93" spans="1:22" ht="15.75" customHeight="1">
      <c r="A93" s="22" t="s">
        <v>24</v>
      </c>
      <c r="B93" s="13"/>
      <c r="C93" s="608" t="s">
        <v>133</v>
      </c>
      <c r="D93" s="609"/>
      <c r="E93" s="596" t="s">
        <v>200</v>
      </c>
      <c r="F93" s="597"/>
      <c r="G93" s="5" t="s">
        <v>30</v>
      </c>
      <c r="H93" s="299"/>
      <c r="I93" s="173" t="s">
        <v>145</v>
      </c>
      <c r="J93" s="211" t="s">
        <v>274</v>
      </c>
      <c r="K93" s="299"/>
      <c r="L93" s="154" t="s">
        <v>38</v>
      </c>
      <c r="M93" s="62" t="s">
        <v>52</v>
      </c>
      <c r="N93" s="151" t="s">
        <v>53</v>
      </c>
      <c r="O93" s="151" t="s">
        <v>54</v>
      </c>
      <c r="P93" s="62" t="s">
        <v>55</v>
      </c>
      <c r="Q93" s="151" t="s">
        <v>119</v>
      </c>
      <c r="R93" s="151" t="s">
        <v>119</v>
      </c>
      <c r="S93" s="152" t="s">
        <v>120</v>
      </c>
      <c r="T93" s="150" t="s">
        <v>125</v>
      </c>
      <c r="U93" s="249" t="s">
        <v>121</v>
      </c>
      <c r="V93" s="274">
        <f>2000*1.05</f>
        <v>2100</v>
      </c>
    </row>
    <row r="94" spans="1:22" ht="15.75" customHeight="1">
      <c r="A94" s="30"/>
      <c r="B94" s="31"/>
      <c r="C94" s="610"/>
      <c r="D94" s="611"/>
      <c r="E94" s="606" t="s">
        <v>121</v>
      </c>
      <c r="F94" s="607"/>
      <c r="G94" s="319" t="s">
        <v>34</v>
      </c>
      <c r="H94" s="320"/>
      <c r="I94" s="321" t="s">
        <v>35</v>
      </c>
      <c r="J94" s="322" t="s">
        <v>35</v>
      </c>
      <c r="K94" s="300"/>
      <c r="L94" s="324" t="s">
        <v>45</v>
      </c>
      <c r="M94" s="325" t="s">
        <v>57</v>
      </c>
      <c r="N94" s="326" t="s">
        <v>45</v>
      </c>
      <c r="O94" s="326" t="s">
        <v>273</v>
      </c>
      <c r="P94" s="327" t="s">
        <v>58</v>
      </c>
      <c r="Q94" s="325" t="s">
        <v>46</v>
      </c>
      <c r="R94" s="325" t="s">
        <v>46</v>
      </c>
      <c r="S94" s="328" t="s">
        <v>59</v>
      </c>
      <c r="T94" s="329" t="s">
        <v>207</v>
      </c>
      <c r="U94" s="250"/>
      <c r="V94" s="250" t="s">
        <v>174</v>
      </c>
    </row>
    <row r="95" spans="1:22" ht="12" customHeight="1">
      <c r="A95" s="86">
        <f>EOMONTH(A96,0)+1</f>
        <v>41426</v>
      </c>
      <c r="B95" s="33"/>
      <c r="C95" s="584"/>
      <c r="D95" s="585"/>
      <c r="E95" s="586">
        <f>IF(C95="","",C95*600)</f>
      </c>
      <c r="F95" s="587"/>
      <c r="G95" s="90"/>
      <c r="H95" s="301"/>
      <c r="I95" s="209"/>
      <c r="J95" s="210"/>
      <c r="K95" s="301"/>
      <c r="L95" s="81"/>
      <c r="M95" s="76"/>
      <c r="N95" s="76"/>
      <c r="O95" s="445"/>
      <c r="P95" s="83"/>
      <c r="Q95" s="314"/>
      <c r="R95" s="314"/>
      <c r="S95" s="80"/>
      <c r="T95" s="244"/>
      <c r="U95" s="247">
        <f>ROUND(MAX(E95:F106),)</f>
        <v>220</v>
      </c>
      <c r="V95" s="275">
        <f>IF(G95="","",ROUND(U95,0)*$V$93*(1+(85-G95)/100))</f>
      </c>
    </row>
    <row r="96" spans="1:22" ht="12" customHeight="1">
      <c r="A96" s="86">
        <f>EOMONTH(A97,0)+1</f>
        <v>41395</v>
      </c>
      <c r="B96" s="33"/>
      <c r="C96" s="584">
        <v>0.21</v>
      </c>
      <c r="D96" s="585"/>
      <c r="E96" s="586">
        <f aca="true" t="shared" si="90" ref="E96:E101">IF(C96="","",C96*600)</f>
        <v>126</v>
      </c>
      <c r="F96" s="587"/>
      <c r="G96" s="90">
        <v>100</v>
      </c>
      <c r="H96" s="301"/>
      <c r="I96" s="209">
        <v>18</v>
      </c>
      <c r="J96" s="210">
        <v>0.02</v>
      </c>
      <c r="K96" s="301"/>
      <c r="L96" s="81">
        <v>217</v>
      </c>
      <c r="M96" s="76">
        <v>62.2</v>
      </c>
      <c r="N96" s="76">
        <v>27.7</v>
      </c>
      <c r="O96" s="445">
        <v>3</v>
      </c>
      <c r="P96" s="83">
        <v>2900</v>
      </c>
      <c r="Q96" s="314" t="s">
        <v>208</v>
      </c>
      <c r="R96" s="314" t="s">
        <v>208</v>
      </c>
      <c r="S96" s="80">
        <v>6.3</v>
      </c>
      <c r="T96" s="244">
        <v>0.48</v>
      </c>
      <c r="U96" s="247">
        <f>ROUND(MAX(E96:F107),)</f>
        <v>220</v>
      </c>
      <c r="V96" s="275">
        <f aca="true" t="shared" si="91" ref="V96:V101">IF(G96="","",ROUND(U96,0)*$V$93*(1+(85-G96)/100))</f>
        <v>392700</v>
      </c>
    </row>
    <row r="97" spans="1:22" ht="12" customHeight="1">
      <c r="A97" s="86">
        <f>EOMONTH(A98,0)+1</f>
        <v>41365</v>
      </c>
      <c r="B97" s="33"/>
      <c r="C97" s="584">
        <v>0.281</v>
      </c>
      <c r="D97" s="585"/>
      <c r="E97" s="586">
        <f t="shared" si="90"/>
        <v>168.60000000000002</v>
      </c>
      <c r="F97" s="587"/>
      <c r="G97" s="90">
        <v>100</v>
      </c>
      <c r="H97" s="301"/>
      <c r="I97" s="209">
        <v>17.9</v>
      </c>
      <c r="J97" s="210">
        <v>0.04</v>
      </c>
      <c r="K97" s="301"/>
      <c r="L97" s="81">
        <v>217</v>
      </c>
      <c r="M97" s="76">
        <v>62.2</v>
      </c>
      <c r="N97" s="76">
        <v>26.3</v>
      </c>
      <c r="O97" s="445">
        <v>3</v>
      </c>
      <c r="P97" s="83">
        <v>2900</v>
      </c>
      <c r="Q97" s="314" t="s">
        <v>208</v>
      </c>
      <c r="R97" s="314" t="s">
        <v>208</v>
      </c>
      <c r="S97" s="80">
        <v>6.3</v>
      </c>
      <c r="T97" s="244">
        <v>0.5</v>
      </c>
      <c r="U97" s="247">
        <f>ROUND(MAX(E97:F108),)</f>
        <v>220</v>
      </c>
      <c r="V97" s="275">
        <f t="shared" si="91"/>
        <v>392700</v>
      </c>
    </row>
    <row r="98" spans="1:22" ht="12" customHeight="1">
      <c r="A98" s="86">
        <f>EOMONTH(A99,0)+1</f>
        <v>41334</v>
      </c>
      <c r="B98" s="33"/>
      <c r="C98" s="584">
        <v>0.304</v>
      </c>
      <c r="D98" s="585"/>
      <c r="E98" s="586">
        <f t="shared" si="90"/>
        <v>182.4</v>
      </c>
      <c r="F98" s="587"/>
      <c r="G98" s="90">
        <v>100</v>
      </c>
      <c r="H98" s="301"/>
      <c r="I98" s="209">
        <v>17.9</v>
      </c>
      <c r="J98" s="210">
        <v>0.06</v>
      </c>
      <c r="K98" s="301"/>
      <c r="L98" s="81">
        <v>216</v>
      </c>
      <c r="M98" s="76">
        <v>62</v>
      </c>
      <c r="N98" s="76">
        <v>26.2</v>
      </c>
      <c r="O98" s="445">
        <v>3</v>
      </c>
      <c r="P98" s="83">
        <v>2880</v>
      </c>
      <c r="Q98" s="314" t="s">
        <v>208</v>
      </c>
      <c r="R98" s="314" t="s">
        <v>208</v>
      </c>
      <c r="S98" s="80">
        <v>6.3</v>
      </c>
      <c r="T98" s="244">
        <v>0.5</v>
      </c>
      <c r="U98" s="247">
        <f>ROUND(MAX(E98:F109),)</f>
        <v>220</v>
      </c>
      <c r="V98" s="275">
        <f t="shared" si="91"/>
        <v>392700</v>
      </c>
    </row>
    <row r="99" spans="1:22" ht="12" customHeight="1">
      <c r="A99" s="86">
        <f>EOMONTH(A100,0)+1</f>
        <v>41306</v>
      </c>
      <c r="B99" s="33"/>
      <c r="C99" s="584">
        <v>0.312</v>
      </c>
      <c r="D99" s="585"/>
      <c r="E99" s="586">
        <f t="shared" si="90"/>
        <v>187.2</v>
      </c>
      <c r="F99" s="587"/>
      <c r="G99" s="90">
        <v>100</v>
      </c>
      <c r="H99" s="301"/>
      <c r="I99" s="209">
        <v>17.99</v>
      </c>
      <c r="J99" s="210">
        <v>0.04</v>
      </c>
      <c r="K99" s="301"/>
      <c r="L99" s="81">
        <v>215</v>
      </c>
      <c r="M99" s="76">
        <v>62</v>
      </c>
      <c r="N99" s="76">
        <v>26.2</v>
      </c>
      <c r="O99" s="445">
        <v>3</v>
      </c>
      <c r="P99" s="83">
        <v>2850</v>
      </c>
      <c r="Q99" s="314" t="s">
        <v>208</v>
      </c>
      <c r="R99" s="314" t="s">
        <v>208</v>
      </c>
      <c r="S99" s="80">
        <v>6.3</v>
      </c>
      <c r="T99" s="244">
        <v>0.5</v>
      </c>
      <c r="U99" s="247">
        <f aca="true" t="shared" si="92" ref="U99:U104">ROUND(MAX(E99:F110),)</f>
        <v>220</v>
      </c>
      <c r="V99" s="275">
        <f t="shared" si="91"/>
        <v>392700</v>
      </c>
    </row>
    <row r="100" spans="1:22" ht="12" customHeight="1">
      <c r="A100" s="86">
        <f>EOMONTH(A101,0)+1</f>
        <v>41275</v>
      </c>
      <c r="B100" s="33"/>
      <c r="C100" s="584">
        <v>0.308</v>
      </c>
      <c r="D100" s="585"/>
      <c r="E100" s="586">
        <f t="shared" si="90"/>
        <v>184.8</v>
      </c>
      <c r="F100" s="587"/>
      <c r="G100" s="90">
        <v>100</v>
      </c>
      <c r="H100" s="301"/>
      <c r="I100" s="209">
        <v>18.41</v>
      </c>
      <c r="J100" s="210">
        <v>0.03</v>
      </c>
      <c r="K100" s="301"/>
      <c r="L100" s="81">
        <v>215</v>
      </c>
      <c r="M100" s="76">
        <v>61.9</v>
      </c>
      <c r="N100" s="76">
        <v>26.2</v>
      </c>
      <c r="O100" s="445">
        <v>3</v>
      </c>
      <c r="P100" s="83">
        <v>2850</v>
      </c>
      <c r="Q100" s="314" t="s">
        <v>208</v>
      </c>
      <c r="R100" s="314" t="s">
        <v>208</v>
      </c>
      <c r="S100" s="80">
        <v>6.2</v>
      </c>
      <c r="T100" s="244">
        <v>0.5</v>
      </c>
      <c r="U100" s="247">
        <f t="shared" si="92"/>
        <v>220</v>
      </c>
      <c r="V100" s="275">
        <f t="shared" si="91"/>
        <v>392700</v>
      </c>
    </row>
    <row r="101" spans="1:22" ht="12" customHeight="1">
      <c r="A101" s="86">
        <f>EOMONTH(A102,0)+1</f>
        <v>41244</v>
      </c>
      <c r="B101" s="33"/>
      <c r="C101" s="584">
        <v>0.276</v>
      </c>
      <c r="D101" s="585"/>
      <c r="E101" s="586">
        <f t="shared" si="90"/>
        <v>165.60000000000002</v>
      </c>
      <c r="F101" s="587"/>
      <c r="G101" s="90">
        <v>100</v>
      </c>
      <c r="H101" s="301"/>
      <c r="I101" s="209">
        <v>18.2</v>
      </c>
      <c r="J101" s="210">
        <v>0.01</v>
      </c>
      <c r="K101" s="301"/>
      <c r="L101" s="81">
        <v>215</v>
      </c>
      <c r="M101" s="76">
        <v>61.9</v>
      </c>
      <c r="N101" s="76">
        <v>26.3</v>
      </c>
      <c r="O101" s="445">
        <v>3</v>
      </c>
      <c r="P101" s="83">
        <v>2850</v>
      </c>
      <c r="Q101" s="314" t="s">
        <v>208</v>
      </c>
      <c r="R101" s="314" t="s">
        <v>208</v>
      </c>
      <c r="S101" s="80">
        <v>6.2</v>
      </c>
      <c r="T101" s="244">
        <v>0.5</v>
      </c>
      <c r="U101" s="247">
        <f t="shared" si="92"/>
        <v>220</v>
      </c>
      <c r="V101" s="275">
        <f t="shared" si="91"/>
        <v>392700</v>
      </c>
    </row>
    <row r="102" spans="1:22" ht="12" customHeight="1">
      <c r="A102" s="86">
        <f>EOMONTH(A103,0)+1</f>
        <v>41214</v>
      </c>
      <c r="B102" s="33"/>
      <c r="C102" s="584">
        <v>0.223</v>
      </c>
      <c r="D102" s="585"/>
      <c r="E102" s="586">
        <f aca="true" t="shared" si="93" ref="E102:E107">IF(C102="","",C102*600)</f>
        <v>133.8</v>
      </c>
      <c r="F102" s="587"/>
      <c r="G102" s="90">
        <v>100</v>
      </c>
      <c r="H102" s="301"/>
      <c r="I102" s="209">
        <v>18</v>
      </c>
      <c r="J102" s="210">
        <v>0.02</v>
      </c>
      <c r="K102" s="301"/>
      <c r="L102" s="81">
        <v>217</v>
      </c>
      <c r="M102" s="76">
        <v>62.2</v>
      </c>
      <c r="N102" s="76">
        <v>26</v>
      </c>
      <c r="O102" s="445">
        <v>3.2</v>
      </c>
      <c r="P102" s="83">
        <v>2900</v>
      </c>
      <c r="Q102" s="314" t="s">
        <v>208</v>
      </c>
      <c r="R102" s="314" t="s">
        <v>208</v>
      </c>
      <c r="S102" s="80">
        <v>6.2</v>
      </c>
      <c r="T102" s="244">
        <v>0.55</v>
      </c>
      <c r="U102" s="247">
        <f t="shared" si="92"/>
        <v>220</v>
      </c>
      <c r="V102" s="275">
        <f aca="true" t="shared" si="94" ref="V102:V107">IF(G102="","",ROUND(U102,0)*$V$93*(1+(85-G102)/100))</f>
        <v>392700</v>
      </c>
    </row>
    <row r="103" spans="1:22" ht="12" customHeight="1">
      <c r="A103" s="86">
        <f>EOMONTH(A104,0)+1</f>
        <v>41183</v>
      </c>
      <c r="B103" s="33"/>
      <c r="C103" s="584">
        <v>0.32</v>
      </c>
      <c r="D103" s="585"/>
      <c r="E103" s="586">
        <f t="shared" si="93"/>
        <v>192</v>
      </c>
      <c r="F103" s="587"/>
      <c r="G103" s="90">
        <v>100</v>
      </c>
      <c r="H103" s="301"/>
      <c r="I103" s="209">
        <v>17.8</v>
      </c>
      <c r="J103" s="210">
        <v>0.03</v>
      </c>
      <c r="K103" s="301"/>
      <c r="L103" s="81">
        <v>219</v>
      </c>
      <c r="M103" s="76">
        <v>62.4</v>
      </c>
      <c r="N103" s="76">
        <v>26.2</v>
      </c>
      <c r="O103" s="445">
        <v>3</v>
      </c>
      <c r="P103" s="83">
        <v>2920</v>
      </c>
      <c r="Q103" s="314" t="s">
        <v>208</v>
      </c>
      <c r="R103" s="314" t="s">
        <v>208</v>
      </c>
      <c r="S103" s="80">
        <v>6.1</v>
      </c>
      <c r="T103" s="244">
        <v>0.55</v>
      </c>
      <c r="U103" s="247">
        <f t="shared" si="92"/>
        <v>220</v>
      </c>
      <c r="V103" s="275">
        <f t="shared" si="94"/>
        <v>392700</v>
      </c>
    </row>
    <row r="104" spans="1:22" ht="12" customHeight="1">
      <c r="A104" s="86">
        <f>EOMONTH(A105,0)+1</f>
        <v>41153</v>
      </c>
      <c r="B104" s="33"/>
      <c r="C104" s="584">
        <v>0.36</v>
      </c>
      <c r="D104" s="585"/>
      <c r="E104" s="586">
        <f t="shared" si="93"/>
        <v>216</v>
      </c>
      <c r="F104" s="587"/>
      <c r="G104" s="90">
        <v>100</v>
      </c>
      <c r="H104" s="301"/>
      <c r="I104" s="209">
        <v>17.8</v>
      </c>
      <c r="J104" s="210">
        <v>0.05</v>
      </c>
      <c r="K104" s="301"/>
      <c r="L104" s="81">
        <v>219</v>
      </c>
      <c r="M104" s="76">
        <v>62.4</v>
      </c>
      <c r="N104" s="76">
        <v>26.2</v>
      </c>
      <c r="O104" s="445">
        <v>3</v>
      </c>
      <c r="P104" s="83">
        <v>2950</v>
      </c>
      <c r="Q104" s="314" t="s">
        <v>208</v>
      </c>
      <c r="R104" s="314" t="s">
        <v>208</v>
      </c>
      <c r="S104" s="80">
        <v>6.1</v>
      </c>
      <c r="T104" s="244">
        <v>0.55</v>
      </c>
      <c r="U104" s="247">
        <f t="shared" si="92"/>
        <v>220</v>
      </c>
      <c r="V104" s="275">
        <f t="shared" si="94"/>
        <v>392700</v>
      </c>
    </row>
    <row r="105" spans="1:22" ht="12" customHeight="1">
      <c r="A105" s="86">
        <f>EOMONTH(A106,0)+1</f>
        <v>41122</v>
      </c>
      <c r="B105" s="33"/>
      <c r="C105" s="584">
        <v>0.366</v>
      </c>
      <c r="D105" s="585"/>
      <c r="E105" s="586">
        <f t="shared" si="93"/>
        <v>219.6</v>
      </c>
      <c r="F105" s="587"/>
      <c r="G105" s="90">
        <v>100</v>
      </c>
      <c r="H105" s="301"/>
      <c r="I105" s="209">
        <v>17.6</v>
      </c>
      <c r="J105" s="210">
        <v>0.06</v>
      </c>
      <c r="K105" s="301"/>
      <c r="L105" s="81">
        <v>219</v>
      </c>
      <c r="M105" s="76">
        <v>62.4</v>
      </c>
      <c r="N105" s="76">
        <v>26.2</v>
      </c>
      <c r="O105" s="445">
        <v>3</v>
      </c>
      <c r="P105" s="83">
        <v>2950</v>
      </c>
      <c r="Q105" s="314" t="s">
        <v>208</v>
      </c>
      <c r="R105" s="314" t="s">
        <v>208</v>
      </c>
      <c r="S105" s="80">
        <v>6.1</v>
      </c>
      <c r="T105" s="244">
        <v>0.55</v>
      </c>
      <c r="U105" s="247">
        <f aca="true" t="shared" si="95" ref="U105:U110">ROUND(MAX(E105:F116),)</f>
        <v>224</v>
      </c>
      <c r="V105" s="275">
        <f t="shared" si="94"/>
        <v>399840</v>
      </c>
    </row>
    <row r="106" spans="1:22" ht="12" customHeight="1">
      <c r="A106" s="86">
        <f>EOMONTH(A107,0)+1</f>
        <v>41091</v>
      </c>
      <c r="B106" s="33"/>
      <c r="C106" s="584">
        <v>0.254</v>
      </c>
      <c r="D106" s="585"/>
      <c r="E106" s="586">
        <f t="shared" si="93"/>
        <v>152.4</v>
      </c>
      <c r="F106" s="587"/>
      <c r="G106" s="90">
        <v>100</v>
      </c>
      <c r="H106" s="301"/>
      <c r="I106" s="209">
        <v>17.6</v>
      </c>
      <c r="J106" s="210">
        <v>0.05</v>
      </c>
      <c r="K106" s="301"/>
      <c r="L106" s="81">
        <v>219</v>
      </c>
      <c r="M106" s="76">
        <v>62.5</v>
      </c>
      <c r="N106" s="76">
        <v>26</v>
      </c>
      <c r="O106" s="445">
        <v>3</v>
      </c>
      <c r="P106" s="83">
        <v>2930</v>
      </c>
      <c r="Q106" s="314" t="s">
        <v>208</v>
      </c>
      <c r="R106" s="314" t="s">
        <v>208</v>
      </c>
      <c r="S106" s="80">
        <v>6.1</v>
      </c>
      <c r="T106" s="244">
        <v>0.55</v>
      </c>
      <c r="U106" s="247">
        <f t="shared" si="95"/>
        <v>232</v>
      </c>
      <c r="V106" s="275">
        <f t="shared" si="94"/>
        <v>414120</v>
      </c>
    </row>
    <row r="107" spans="1:22" ht="12" customHeight="1">
      <c r="A107" s="86">
        <f>EOMONTH(A108,0)+1</f>
        <v>41061</v>
      </c>
      <c r="B107" s="33"/>
      <c r="C107" s="584">
        <v>0.212</v>
      </c>
      <c r="D107" s="585"/>
      <c r="E107" s="586">
        <f t="shared" si="93"/>
        <v>127.2</v>
      </c>
      <c r="F107" s="587"/>
      <c r="G107" s="90">
        <v>100</v>
      </c>
      <c r="H107" s="301"/>
      <c r="I107" s="209">
        <v>17.7</v>
      </c>
      <c r="J107" s="210">
        <v>0.05</v>
      </c>
      <c r="K107" s="301"/>
      <c r="L107" s="81">
        <v>218</v>
      </c>
      <c r="M107" s="76">
        <v>62.5</v>
      </c>
      <c r="N107" s="76">
        <v>26</v>
      </c>
      <c r="O107" s="445">
        <v>3</v>
      </c>
      <c r="P107" s="83">
        <v>2910</v>
      </c>
      <c r="Q107" s="314" t="s">
        <v>208</v>
      </c>
      <c r="R107" s="314" t="s">
        <v>208</v>
      </c>
      <c r="S107" s="80">
        <v>6.1</v>
      </c>
      <c r="T107" s="244">
        <v>0.55</v>
      </c>
      <c r="U107" s="247">
        <f t="shared" si="95"/>
        <v>232</v>
      </c>
      <c r="V107" s="275">
        <f t="shared" si="94"/>
        <v>414120</v>
      </c>
    </row>
    <row r="108" spans="1:22" ht="12" customHeight="1" hidden="1">
      <c r="A108" s="86">
        <f>EOMONTH(A109,0)+1</f>
        <v>41030</v>
      </c>
      <c r="B108" s="33"/>
      <c r="C108" s="584">
        <v>0.245</v>
      </c>
      <c r="D108" s="585"/>
      <c r="E108" s="586">
        <f aca="true" t="shared" si="96" ref="E108:E113">IF(C108="","",C108*600)</f>
        <v>147</v>
      </c>
      <c r="F108" s="587"/>
      <c r="G108" s="90">
        <v>100</v>
      </c>
      <c r="H108" s="301"/>
      <c r="I108" s="209">
        <v>17.8</v>
      </c>
      <c r="J108" s="210">
        <v>0.05</v>
      </c>
      <c r="K108" s="301"/>
      <c r="L108" s="81">
        <v>217</v>
      </c>
      <c r="M108" s="76">
        <v>62.1</v>
      </c>
      <c r="N108" s="76">
        <v>26.2</v>
      </c>
      <c r="O108" s="445">
        <v>3</v>
      </c>
      <c r="P108" s="83">
        <v>2900</v>
      </c>
      <c r="Q108" s="314" t="s">
        <v>208</v>
      </c>
      <c r="R108" s="314" t="s">
        <v>208</v>
      </c>
      <c r="S108" s="80">
        <v>6.1</v>
      </c>
      <c r="T108" s="244">
        <v>0.55</v>
      </c>
      <c r="U108" s="247">
        <f t="shared" si="95"/>
        <v>232</v>
      </c>
      <c r="V108" s="275">
        <f aca="true" t="shared" si="97" ref="V108:V113">IF(G108="","",ROUND(U108,0)*$V$93*(1+(85-G108)/100))</f>
        <v>414120</v>
      </c>
    </row>
    <row r="109" spans="1:22" ht="12" customHeight="1" hidden="1">
      <c r="A109" s="86">
        <f>EOMONTH(A110,0)+1</f>
        <v>41000</v>
      </c>
      <c r="B109" s="33"/>
      <c r="C109" s="584">
        <v>0.269</v>
      </c>
      <c r="D109" s="585"/>
      <c r="E109" s="586">
        <f t="shared" si="96"/>
        <v>161.4</v>
      </c>
      <c r="F109" s="587"/>
      <c r="G109" s="90">
        <v>100</v>
      </c>
      <c r="H109" s="301"/>
      <c r="I109" s="209">
        <v>17.7</v>
      </c>
      <c r="J109" s="210">
        <v>0.04</v>
      </c>
      <c r="K109" s="301"/>
      <c r="L109" s="81">
        <v>216</v>
      </c>
      <c r="M109" s="76">
        <v>62.1</v>
      </c>
      <c r="N109" s="76">
        <v>26</v>
      </c>
      <c r="O109" s="445">
        <v>2.8</v>
      </c>
      <c r="P109" s="83">
        <v>2890</v>
      </c>
      <c r="Q109" s="314" t="s">
        <v>208</v>
      </c>
      <c r="R109" s="314" t="s">
        <v>208</v>
      </c>
      <c r="S109" s="80">
        <v>6.1</v>
      </c>
      <c r="T109" s="244">
        <v>0.58</v>
      </c>
      <c r="U109" s="247">
        <f t="shared" si="95"/>
        <v>232</v>
      </c>
      <c r="V109" s="275">
        <f t="shared" si="97"/>
        <v>414120</v>
      </c>
    </row>
    <row r="110" spans="1:22" ht="12" customHeight="1" hidden="1">
      <c r="A110" s="86">
        <f>EOMONTH(A111,0)+1</f>
        <v>40969</v>
      </c>
      <c r="B110" s="33"/>
      <c r="C110" s="584">
        <v>0.341</v>
      </c>
      <c r="D110" s="585"/>
      <c r="E110" s="586">
        <f t="shared" si="96"/>
        <v>204.60000000000002</v>
      </c>
      <c r="F110" s="587"/>
      <c r="G110" s="90">
        <v>100</v>
      </c>
      <c r="H110" s="301"/>
      <c r="I110" s="209">
        <v>18</v>
      </c>
      <c r="J110" s="210">
        <v>0.04</v>
      </c>
      <c r="K110" s="301"/>
      <c r="L110" s="81">
        <v>216</v>
      </c>
      <c r="M110" s="76">
        <v>62.1</v>
      </c>
      <c r="N110" s="76">
        <v>26.2</v>
      </c>
      <c r="O110" s="445">
        <v>2.8</v>
      </c>
      <c r="P110" s="83">
        <v>2890</v>
      </c>
      <c r="Q110" s="314" t="s">
        <v>208</v>
      </c>
      <c r="R110" s="314" t="s">
        <v>208</v>
      </c>
      <c r="S110" s="80">
        <v>6</v>
      </c>
      <c r="T110" s="244">
        <v>0.58</v>
      </c>
      <c r="U110" s="247">
        <f t="shared" si="95"/>
        <v>232</v>
      </c>
      <c r="V110" s="275">
        <f t="shared" si="97"/>
        <v>414120</v>
      </c>
    </row>
    <row r="111" spans="1:22" ht="12" customHeight="1" hidden="1">
      <c r="A111" s="86">
        <f>EOMONTH(A112,0)+1</f>
        <v>40940</v>
      </c>
      <c r="B111" s="33"/>
      <c r="C111" s="584">
        <v>0.327</v>
      </c>
      <c r="D111" s="585"/>
      <c r="E111" s="586">
        <f t="shared" si="96"/>
        <v>196.20000000000002</v>
      </c>
      <c r="F111" s="587"/>
      <c r="G111" s="90">
        <v>100</v>
      </c>
      <c r="H111" s="301"/>
      <c r="I111" s="209">
        <v>18.37</v>
      </c>
      <c r="J111" s="210">
        <v>0.04</v>
      </c>
      <c r="K111" s="301"/>
      <c r="L111" s="81">
        <v>216</v>
      </c>
      <c r="M111" s="76">
        <v>62</v>
      </c>
      <c r="N111" s="76">
        <v>26</v>
      </c>
      <c r="O111" s="445">
        <v>2.8</v>
      </c>
      <c r="P111" s="83">
        <v>2880</v>
      </c>
      <c r="Q111" s="314" t="s">
        <v>208</v>
      </c>
      <c r="R111" s="314" t="s">
        <v>208</v>
      </c>
      <c r="S111" s="80">
        <v>5.9</v>
      </c>
      <c r="T111" s="244">
        <v>0.58</v>
      </c>
      <c r="U111" s="247">
        <f aca="true" t="shared" si="98" ref="U111:U116">ROUND(MAX(E111:F122),)</f>
        <v>232</v>
      </c>
      <c r="V111" s="275">
        <f t="shared" si="97"/>
        <v>414120</v>
      </c>
    </row>
    <row r="112" spans="1:22" ht="12" customHeight="1" hidden="1">
      <c r="A112" s="86">
        <f>EOMONTH(A113,0)+1</f>
        <v>40909</v>
      </c>
      <c r="B112" s="33"/>
      <c r="C112" s="584">
        <v>0.348</v>
      </c>
      <c r="D112" s="585"/>
      <c r="E112" s="586">
        <f t="shared" si="96"/>
        <v>208.79999999999998</v>
      </c>
      <c r="F112" s="587"/>
      <c r="G112" s="90">
        <v>100</v>
      </c>
      <c r="H112" s="301"/>
      <c r="I112" s="209">
        <v>17.87</v>
      </c>
      <c r="J112" s="210">
        <v>0.04</v>
      </c>
      <c r="K112" s="301"/>
      <c r="L112" s="81">
        <v>215</v>
      </c>
      <c r="M112" s="76">
        <v>61.8</v>
      </c>
      <c r="N112" s="76">
        <v>26</v>
      </c>
      <c r="O112" s="445">
        <v>2.8</v>
      </c>
      <c r="P112" s="83">
        <v>2860</v>
      </c>
      <c r="Q112" s="314" t="s">
        <v>208</v>
      </c>
      <c r="R112" s="314" t="s">
        <v>208</v>
      </c>
      <c r="S112" s="80">
        <v>5.9</v>
      </c>
      <c r="T112" s="244">
        <v>0.58</v>
      </c>
      <c r="U112" s="247">
        <f t="shared" si="98"/>
        <v>239</v>
      </c>
      <c r="V112" s="275">
        <f t="shared" si="97"/>
        <v>426615</v>
      </c>
    </row>
    <row r="113" spans="1:22" ht="12" customHeight="1" hidden="1">
      <c r="A113" s="86">
        <f>EOMONTH(A114,0)+1</f>
        <v>40878</v>
      </c>
      <c r="B113" s="33"/>
      <c r="C113" s="584">
        <v>0.254</v>
      </c>
      <c r="D113" s="585"/>
      <c r="E113" s="586">
        <f t="shared" si="96"/>
        <v>152.4</v>
      </c>
      <c r="F113" s="587"/>
      <c r="G113" s="90">
        <v>100</v>
      </c>
      <c r="H113" s="301"/>
      <c r="I113" s="209">
        <v>18.2</v>
      </c>
      <c r="J113" s="210">
        <v>0.04</v>
      </c>
      <c r="K113" s="301"/>
      <c r="L113" s="81">
        <v>217</v>
      </c>
      <c r="M113" s="76">
        <v>62</v>
      </c>
      <c r="N113" s="76">
        <v>26.3</v>
      </c>
      <c r="O113" s="445">
        <v>3</v>
      </c>
      <c r="P113" s="83">
        <v>2890</v>
      </c>
      <c r="Q113" s="314" t="s">
        <v>208</v>
      </c>
      <c r="R113" s="314" t="s">
        <v>208</v>
      </c>
      <c r="S113" s="80">
        <v>5.9</v>
      </c>
      <c r="T113" s="244">
        <v>0.6</v>
      </c>
      <c r="U113" s="247">
        <f t="shared" si="98"/>
        <v>239</v>
      </c>
      <c r="V113" s="275">
        <f t="shared" si="97"/>
        <v>426615</v>
      </c>
    </row>
    <row r="114" spans="1:22" ht="12" customHeight="1" hidden="1">
      <c r="A114" s="86">
        <f>EOMONTH(A115,0)+1</f>
        <v>40848</v>
      </c>
      <c r="B114" s="33"/>
      <c r="C114" s="584">
        <v>0.271</v>
      </c>
      <c r="D114" s="585"/>
      <c r="E114" s="586">
        <f aca="true" t="shared" si="99" ref="E114:E119">IF(C114="","",C114*600)</f>
        <v>162.60000000000002</v>
      </c>
      <c r="F114" s="587"/>
      <c r="G114" s="90">
        <v>100</v>
      </c>
      <c r="H114" s="301"/>
      <c r="I114" s="209">
        <v>18.1</v>
      </c>
      <c r="J114" s="210">
        <v>0.04</v>
      </c>
      <c r="K114" s="301"/>
      <c r="L114" s="81">
        <v>218</v>
      </c>
      <c r="M114" s="76">
        <v>62</v>
      </c>
      <c r="N114" s="76">
        <v>26.2</v>
      </c>
      <c r="O114" s="445">
        <v>3</v>
      </c>
      <c r="P114" s="83">
        <v>2900</v>
      </c>
      <c r="Q114" s="314" t="s">
        <v>208</v>
      </c>
      <c r="R114" s="314" t="s">
        <v>208</v>
      </c>
      <c r="S114" s="80">
        <v>5.9</v>
      </c>
      <c r="T114" s="244">
        <v>0.6</v>
      </c>
      <c r="U114" s="247">
        <f t="shared" si="98"/>
        <v>239</v>
      </c>
      <c r="V114" s="275">
        <f aca="true" t="shared" si="100" ref="V114:V119">IF(G114="","",ROUND(U114,0)*$V$93*(1+(85-G114)/100))</f>
        <v>426615</v>
      </c>
    </row>
    <row r="115" spans="1:22" ht="12" customHeight="1" hidden="1">
      <c r="A115" s="86">
        <f>EOMONTH(A116,0)+1</f>
        <v>40817</v>
      </c>
      <c r="B115" s="33"/>
      <c r="C115" s="584">
        <v>0.337</v>
      </c>
      <c r="D115" s="585"/>
      <c r="E115" s="586">
        <f t="shared" si="99"/>
        <v>202.20000000000002</v>
      </c>
      <c r="F115" s="587"/>
      <c r="G115" s="90">
        <v>100</v>
      </c>
      <c r="H115" s="301"/>
      <c r="I115" s="209">
        <v>18.1</v>
      </c>
      <c r="J115" s="210">
        <v>0.04</v>
      </c>
      <c r="K115" s="301"/>
      <c r="L115" s="81">
        <v>218</v>
      </c>
      <c r="M115" s="76">
        <v>62.2</v>
      </c>
      <c r="N115" s="76">
        <v>26.2</v>
      </c>
      <c r="O115" s="445">
        <v>3.2</v>
      </c>
      <c r="P115" s="83">
        <v>2900</v>
      </c>
      <c r="Q115" s="314" t="s">
        <v>208</v>
      </c>
      <c r="R115" s="314" t="s">
        <v>208</v>
      </c>
      <c r="S115" s="80">
        <v>5.8</v>
      </c>
      <c r="T115" s="244">
        <v>0.62</v>
      </c>
      <c r="U115" s="247">
        <f t="shared" si="98"/>
        <v>239</v>
      </c>
      <c r="V115" s="275">
        <f t="shared" si="100"/>
        <v>426615</v>
      </c>
    </row>
    <row r="116" spans="1:22" ht="12" customHeight="1" hidden="1">
      <c r="A116" s="86">
        <f>EOMONTH(A117,0)+1</f>
        <v>40787</v>
      </c>
      <c r="B116" s="33"/>
      <c r="C116" s="584">
        <v>0.374</v>
      </c>
      <c r="D116" s="585"/>
      <c r="E116" s="586">
        <f t="shared" si="99"/>
        <v>224.4</v>
      </c>
      <c r="F116" s="587"/>
      <c r="G116" s="90">
        <v>100</v>
      </c>
      <c r="H116" s="301"/>
      <c r="I116" s="209">
        <v>17.6</v>
      </c>
      <c r="J116" s="210">
        <v>0.04</v>
      </c>
      <c r="K116" s="301"/>
      <c r="L116" s="81">
        <v>219</v>
      </c>
      <c r="M116" s="76">
        <v>62.3</v>
      </c>
      <c r="N116" s="76">
        <v>26.2</v>
      </c>
      <c r="O116" s="445">
        <v>3</v>
      </c>
      <c r="P116" s="83">
        <v>2950</v>
      </c>
      <c r="Q116" s="314" t="s">
        <v>208</v>
      </c>
      <c r="R116" s="314" t="s">
        <v>208</v>
      </c>
      <c r="S116" s="80">
        <v>5.8</v>
      </c>
      <c r="T116" s="244">
        <v>0.625</v>
      </c>
      <c r="U116" s="247">
        <f t="shared" si="98"/>
        <v>239</v>
      </c>
      <c r="V116" s="275">
        <f t="shared" si="100"/>
        <v>426615</v>
      </c>
    </row>
    <row r="117" spans="1:22" ht="12" customHeight="1" hidden="1">
      <c r="A117" s="86">
        <f>EOMONTH(A118,0)+1</f>
        <v>40756</v>
      </c>
      <c r="B117" s="33"/>
      <c r="C117" s="584">
        <v>0.386</v>
      </c>
      <c r="D117" s="585"/>
      <c r="E117" s="586">
        <f t="shared" si="99"/>
        <v>231.6</v>
      </c>
      <c r="F117" s="587"/>
      <c r="G117" s="90">
        <v>100</v>
      </c>
      <c r="H117" s="301"/>
      <c r="I117" s="209">
        <v>17.38</v>
      </c>
      <c r="J117" s="210">
        <v>0.04</v>
      </c>
      <c r="K117" s="301"/>
      <c r="L117" s="81">
        <v>219</v>
      </c>
      <c r="M117" s="76">
        <v>62.3</v>
      </c>
      <c r="N117" s="76">
        <v>26.2</v>
      </c>
      <c r="O117" s="445">
        <v>3</v>
      </c>
      <c r="P117" s="83">
        <v>2950</v>
      </c>
      <c r="Q117" s="314" t="s">
        <v>208</v>
      </c>
      <c r="R117" s="314" t="s">
        <v>208</v>
      </c>
      <c r="S117" s="80">
        <v>5.8</v>
      </c>
      <c r="T117" s="244">
        <v>0.625</v>
      </c>
      <c r="U117" s="247">
        <f aca="true" t="shared" si="101" ref="U117:U122">ROUND(MAX(E117:F128),)</f>
        <v>255</v>
      </c>
      <c r="V117" s="275">
        <f t="shared" si="100"/>
        <v>455175</v>
      </c>
    </row>
    <row r="118" spans="1:22" ht="12" customHeight="1" hidden="1">
      <c r="A118" s="86">
        <f>EOMONTH(A119,0)+1</f>
        <v>40725</v>
      </c>
      <c r="B118" s="33"/>
      <c r="C118" s="584">
        <v>0.369</v>
      </c>
      <c r="D118" s="585"/>
      <c r="E118" s="586">
        <f t="shared" si="99"/>
        <v>221.4</v>
      </c>
      <c r="F118" s="587"/>
      <c r="G118" s="90">
        <v>100</v>
      </c>
      <c r="H118" s="301"/>
      <c r="I118" s="209">
        <v>17.4</v>
      </c>
      <c r="J118" s="210">
        <v>0.07</v>
      </c>
      <c r="K118" s="301"/>
      <c r="L118" s="81">
        <v>219</v>
      </c>
      <c r="M118" s="76">
        <v>62.3</v>
      </c>
      <c r="N118" s="76">
        <v>26.2</v>
      </c>
      <c r="O118" s="445">
        <v>3</v>
      </c>
      <c r="P118" s="83">
        <v>2940</v>
      </c>
      <c r="Q118" s="314" t="s">
        <v>208</v>
      </c>
      <c r="R118" s="314" t="s">
        <v>208</v>
      </c>
      <c r="S118" s="80">
        <v>5.8</v>
      </c>
      <c r="T118" s="244">
        <v>0.625</v>
      </c>
      <c r="U118" s="247">
        <f t="shared" si="101"/>
        <v>255</v>
      </c>
      <c r="V118" s="275">
        <f t="shared" si="100"/>
        <v>455175</v>
      </c>
    </row>
    <row r="119" spans="1:22" ht="12" customHeight="1" hidden="1">
      <c r="A119" s="86">
        <f>EOMONTH(A120,0)+1</f>
        <v>40695</v>
      </c>
      <c r="B119" s="33"/>
      <c r="C119" s="584">
        <v>0.327</v>
      </c>
      <c r="D119" s="585"/>
      <c r="E119" s="586">
        <f t="shared" si="99"/>
        <v>196.20000000000002</v>
      </c>
      <c r="F119" s="587"/>
      <c r="G119" s="90">
        <v>100</v>
      </c>
      <c r="H119" s="301"/>
      <c r="I119" s="209">
        <v>17.81</v>
      </c>
      <c r="J119" s="210">
        <v>0.07</v>
      </c>
      <c r="K119" s="301"/>
      <c r="L119" s="81">
        <v>217</v>
      </c>
      <c r="M119" s="76">
        <v>62.3</v>
      </c>
      <c r="N119" s="76">
        <v>26.2</v>
      </c>
      <c r="O119" s="445">
        <v>3</v>
      </c>
      <c r="P119" s="83">
        <v>2900</v>
      </c>
      <c r="Q119" s="314" t="s">
        <v>208</v>
      </c>
      <c r="R119" s="314" t="s">
        <v>208</v>
      </c>
      <c r="S119" s="80">
        <v>5.8</v>
      </c>
      <c r="T119" s="244">
        <v>0.63</v>
      </c>
      <c r="U119" s="247">
        <f t="shared" si="101"/>
        <v>255</v>
      </c>
      <c r="V119" s="275">
        <f t="shared" si="100"/>
        <v>455175</v>
      </c>
    </row>
    <row r="120" spans="1:22" ht="12" customHeight="1" hidden="1">
      <c r="A120" s="86">
        <f>EOMONTH(A121,0)+1</f>
        <v>40664</v>
      </c>
      <c r="B120" s="33"/>
      <c r="C120" s="584">
        <v>0.251</v>
      </c>
      <c r="D120" s="585"/>
      <c r="E120" s="586">
        <f aca="true" t="shared" si="102" ref="E120:E125">IF(C120="","",C120*600)</f>
        <v>150.6</v>
      </c>
      <c r="F120" s="587"/>
      <c r="G120" s="90">
        <v>100</v>
      </c>
      <c r="H120" s="301"/>
      <c r="I120" s="209">
        <v>18</v>
      </c>
      <c r="J120" s="210">
        <v>0.07</v>
      </c>
      <c r="K120" s="301"/>
      <c r="L120" s="81">
        <v>217</v>
      </c>
      <c r="M120" s="76">
        <v>62.1</v>
      </c>
      <c r="N120" s="76">
        <v>26.2</v>
      </c>
      <c r="O120" s="445">
        <v>3</v>
      </c>
      <c r="P120" s="83">
        <v>2900</v>
      </c>
      <c r="Q120" s="314" t="s">
        <v>208</v>
      </c>
      <c r="R120" s="314" t="s">
        <v>208</v>
      </c>
      <c r="S120" s="80">
        <v>5.7</v>
      </c>
      <c r="T120" s="244">
        <v>0.63</v>
      </c>
      <c r="U120" s="247">
        <f t="shared" si="101"/>
        <v>255</v>
      </c>
      <c r="V120" s="275">
        <f aca="true" t="shared" si="103" ref="V120:V125">IF(G120="","",ROUND(U120,0)*$V$93*(1+(85-G120)/100))</f>
        <v>455175</v>
      </c>
    </row>
    <row r="121" spans="1:22" ht="12" customHeight="1" hidden="1">
      <c r="A121" s="86">
        <f>EOMONTH(A122,0)+1</f>
        <v>40634</v>
      </c>
      <c r="B121" s="33"/>
      <c r="C121" s="584">
        <v>0.364</v>
      </c>
      <c r="D121" s="585"/>
      <c r="E121" s="586">
        <f t="shared" si="102"/>
        <v>218.4</v>
      </c>
      <c r="F121" s="587"/>
      <c r="G121" s="90">
        <v>100</v>
      </c>
      <c r="H121" s="301"/>
      <c r="I121" s="209">
        <v>18.2</v>
      </c>
      <c r="J121" s="210">
        <v>0.08</v>
      </c>
      <c r="K121" s="301"/>
      <c r="L121" s="81">
        <v>216</v>
      </c>
      <c r="M121" s="76">
        <v>62</v>
      </c>
      <c r="N121" s="76">
        <v>26.2</v>
      </c>
      <c r="O121" s="445">
        <v>2.7</v>
      </c>
      <c r="P121" s="83">
        <v>2880</v>
      </c>
      <c r="Q121" s="314" t="s">
        <v>208</v>
      </c>
      <c r="R121" s="314" t="s">
        <v>208</v>
      </c>
      <c r="S121" s="80">
        <v>5.7</v>
      </c>
      <c r="T121" s="244">
        <v>0.65</v>
      </c>
      <c r="U121" s="247">
        <f t="shared" si="101"/>
        <v>255</v>
      </c>
      <c r="V121" s="275">
        <f t="shared" si="103"/>
        <v>455175</v>
      </c>
    </row>
    <row r="122" spans="1:22" ht="12" customHeight="1" hidden="1">
      <c r="A122" s="86">
        <f>EOMONTH(A123,0)+1</f>
        <v>40603</v>
      </c>
      <c r="B122" s="33"/>
      <c r="C122" s="584">
        <v>0.363</v>
      </c>
      <c r="D122" s="585"/>
      <c r="E122" s="586">
        <f t="shared" si="102"/>
        <v>217.79999999999998</v>
      </c>
      <c r="F122" s="587"/>
      <c r="G122" s="90">
        <v>100</v>
      </c>
      <c r="H122" s="301"/>
      <c r="I122" s="209">
        <v>18.13</v>
      </c>
      <c r="J122" s="210">
        <v>0.09</v>
      </c>
      <c r="K122" s="301"/>
      <c r="L122" s="81">
        <v>215</v>
      </c>
      <c r="M122" s="76">
        <v>62</v>
      </c>
      <c r="N122" s="76">
        <v>26.2</v>
      </c>
      <c r="O122" s="445">
        <v>2.7</v>
      </c>
      <c r="P122" s="83">
        <v>2880</v>
      </c>
      <c r="Q122" s="314" t="s">
        <v>208</v>
      </c>
      <c r="R122" s="314" t="s">
        <v>208</v>
      </c>
      <c r="S122" s="80">
        <v>5.7</v>
      </c>
      <c r="T122" s="244">
        <v>0.65</v>
      </c>
      <c r="U122" s="247">
        <f t="shared" si="101"/>
        <v>255</v>
      </c>
      <c r="V122" s="275">
        <f t="shared" si="103"/>
        <v>455175</v>
      </c>
    </row>
    <row r="123" spans="1:22" ht="12" customHeight="1" hidden="1">
      <c r="A123" s="86">
        <f>EOMONTH(A124,0)+1</f>
        <v>40575</v>
      </c>
      <c r="B123" s="33"/>
      <c r="C123" s="584">
        <v>0.399</v>
      </c>
      <c r="D123" s="585"/>
      <c r="E123" s="586">
        <f t="shared" si="102"/>
        <v>239.4</v>
      </c>
      <c r="F123" s="587"/>
      <c r="G123" s="90">
        <v>100</v>
      </c>
      <c r="H123" s="301"/>
      <c r="I123" s="209">
        <v>17.95</v>
      </c>
      <c r="J123" s="210">
        <v>0.07</v>
      </c>
      <c r="K123" s="301"/>
      <c r="L123" s="81">
        <v>215</v>
      </c>
      <c r="M123" s="76">
        <v>62</v>
      </c>
      <c r="N123" s="76">
        <v>26.2</v>
      </c>
      <c r="O123" s="445">
        <v>3</v>
      </c>
      <c r="P123" s="83">
        <v>2880</v>
      </c>
      <c r="Q123" s="314" t="s">
        <v>208</v>
      </c>
      <c r="R123" s="314" t="s">
        <v>208</v>
      </c>
      <c r="S123" s="80">
        <v>5.7</v>
      </c>
      <c r="T123" s="244">
        <v>0.65</v>
      </c>
      <c r="U123" s="247">
        <f aca="true" t="shared" si="104" ref="U123:U128">ROUND(MAX(E123:F134),)</f>
        <v>255</v>
      </c>
      <c r="V123" s="275">
        <f t="shared" si="103"/>
        <v>455175</v>
      </c>
    </row>
    <row r="124" spans="1:22" ht="12" customHeight="1" hidden="1">
      <c r="A124" s="86">
        <f>EOMONTH(A125,0)+1</f>
        <v>40544</v>
      </c>
      <c r="B124" s="33"/>
      <c r="C124" s="584">
        <v>0.354</v>
      </c>
      <c r="D124" s="585"/>
      <c r="E124" s="586">
        <f t="shared" si="102"/>
        <v>212.39999999999998</v>
      </c>
      <c r="F124" s="587"/>
      <c r="G124" s="90">
        <v>100</v>
      </c>
      <c r="H124" s="301"/>
      <c r="I124" s="209">
        <v>18.16</v>
      </c>
      <c r="J124" s="210">
        <v>0.07</v>
      </c>
      <c r="K124" s="301"/>
      <c r="L124" s="81">
        <v>215</v>
      </c>
      <c r="M124" s="76">
        <v>61.8</v>
      </c>
      <c r="N124" s="76">
        <v>26</v>
      </c>
      <c r="O124" s="445">
        <v>2.4</v>
      </c>
      <c r="P124" s="83">
        <v>2850</v>
      </c>
      <c r="Q124" s="314" t="s">
        <v>208</v>
      </c>
      <c r="R124" s="314" t="s">
        <v>309</v>
      </c>
      <c r="S124" s="80">
        <v>5.7</v>
      </c>
      <c r="T124" s="244">
        <v>0.7</v>
      </c>
      <c r="U124" s="247">
        <f t="shared" si="104"/>
        <v>255</v>
      </c>
      <c r="V124" s="275">
        <f t="shared" si="103"/>
        <v>455175</v>
      </c>
    </row>
    <row r="125" spans="1:22" ht="12" customHeight="1" hidden="1">
      <c r="A125" s="86">
        <f>EOMONTH(A126,0)+1</f>
        <v>40513</v>
      </c>
      <c r="B125" s="33"/>
      <c r="C125" s="584">
        <v>0.287</v>
      </c>
      <c r="D125" s="585"/>
      <c r="E125" s="586">
        <f t="shared" si="102"/>
        <v>172.2</v>
      </c>
      <c r="F125" s="587"/>
      <c r="G125" s="90">
        <v>100</v>
      </c>
      <c r="H125" s="301"/>
      <c r="I125" s="209">
        <v>17.81</v>
      </c>
      <c r="J125" s="210">
        <v>0.08</v>
      </c>
      <c r="K125" s="301"/>
      <c r="L125" s="81">
        <v>217</v>
      </c>
      <c r="M125" s="76">
        <v>62</v>
      </c>
      <c r="N125" s="76">
        <v>26</v>
      </c>
      <c r="O125" s="445">
        <v>3</v>
      </c>
      <c r="P125" s="83">
        <v>2900</v>
      </c>
      <c r="Q125" s="314" t="s">
        <v>208</v>
      </c>
      <c r="R125" s="314" t="s">
        <v>309</v>
      </c>
      <c r="S125" s="80">
        <v>5.7</v>
      </c>
      <c r="T125" s="244">
        <v>0.7</v>
      </c>
      <c r="U125" s="247">
        <f t="shared" si="104"/>
        <v>255</v>
      </c>
      <c r="V125" s="275">
        <f t="shared" si="103"/>
        <v>455175</v>
      </c>
    </row>
    <row r="126" spans="1:22" ht="12" customHeight="1" hidden="1">
      <c r="A126" s="86">
        <f>EOMONTH(A127,0)+1</f>
        <v>40483</v>
      </c>
      <c r="B126" s="33"/>
      <c r="C126" s="584">
        <v>0.318</v>
      </c>
      <c r="D126" s="585"/>
      <c r="E126" s="586">
        <f aca="true" t="shared" si="105" ref="E126:E131">IF(C126="","",C126*600)</f>
        <v>190.8</v>
      </c>
      <c r="F126" s="587"/>
      <c r="G126" s="90">
        <v>100</v>
      </c>
      <c r="H126" s="301"/>
      <c r="I126" s="209">
        <v>18.3</v>
      </c>
      <c r="J126" s="210">
        <v>0.09</v>
      </c>
      <c r="K126" s="301"/>
      <c r="L126" s="81">
        <v>217</v>
      </c>
      <c r="M126" s="76">
        <v>62.1</v>
      </c>
      <c r="N126" s="76">
        <v>26.2</v>
      </c>
      <c r="O126" s="445">
        <v>3</v>
      </c>
      <c r="P126" s="83">
        <v>2900</v>
      </c>
      <c r="Q126" s="314" t="s">
        <v>208</v>
      </c>
      <c r="R126" s="314" t="s">
        <v>309</v>
      </c>
      <c r="S126" s="80">
        <v>5.6</v>
      </c>
      <c r="T126" s="244">
        <v>0.7</v>
      </c>
      <c r="U126" s="247">
        <f t="shared" si="104"/>
        <v>255</v>
      </c>
      <c r="V126" s="275">
        <f aca="true" t="shared" si="106" ref="V126:V131">IF(G126="","",ROUND(U126,0)*$V$93*(1+(85-G126)/100))</f>
        <v>455175</v>
      </c>
    </row>
    <row r="127" spans="1:22" ht="12" customHeight="1" hidden="1">
      <c r="A127" s="86">
        <f>EOMONTH(A128,0)+1</f>
        <v>40452</v>
      </c>
      <c r="B127" s="33"/>
      <c r="C127" s="584">
        <v>0.386</v>
      </c>
      <c r="D127" s="585"/>
      <c r="E127" s="586">
        <f t="shared" si="105"/>
        <v>231.6</v>
      </c>
      <c r="F127" s="587"/>
      <c r="G127" s="90">
        <v>100</v>
      </c>
      <c r="H127" s="301"/>
      <c r="I127" s="209">
        <v>17.9</v>
      </c>
      <c r="J127" s="210">
        <v>0.11</v>
      </c>
      <c r="K127" s="301"/>
      <c r="L127" s="81">
        <v>217</v>
      </c>
      <c r="M127" s="76">
        <v>62.3</v>
      </c>
      <c r="N127" s="76">
        <v>26.2</v>
      </c>
      <c r="O127" s="445">
        <v>3.2</v>
      </c>
      <c r="P127" s="83">
        <v>2910</v>
      </c>
      <c r="Q127" s="314" t="s">
        <v>208</v>
      </c>
      <c r="R127" s="314" t="s">
        <v>309</v>
      </c>
      <c r="S127" s="80">
        <v>5.6</v>
      </c>
      <c r="T127" s="244">
        <v>0.7</v>
      </c>
      <c r="U127" s="247">
        <f t="shared" si="104"/>
        <v>255</v>
      </c>
      <c r="V127" s="275">
        <f t="shared" si="106"/>
        <v>455175</v>
      </c>
    </row>
    <row r="128" spans="1:22" ht="12" customHeight="1" hidden="1">
      <c r="A128" s="86">
        <f>EOMONTH(A129,0)+1</f>
        <v>40422</v>
      </c>
      <c r="B128" s="33"/>
      <c r="C128" s="584">
        <v>0.425</v>
      </c>
      <c r="D128" s="585"/>
      <c r="E128" s="586">
        <f t="shared" si="105"/>
        <v>255</v>
      </c>
      <c r="F128" s="587"/>
      <c r="G128" s="90">
        <v>100</v>
      </c>
      <c r="H128" s="301"/>
      <c r="I128" s="209">
        <v>17.1</v>
      </c>
      <c r="J128" s="210">
        <v>0.08</v>
      </c>
      <c r="K128" s="301"/>
      <c r="L128" s="81">
        <v>219</v>
      </c>
      <c r="M128" s="76">
        <v>62.5</v>
      </c>
      <c r="N128" s="76">
        <v>26.2</v>
      </c>
      <c r="O128" s="445">
        <v>3</v>
      </c>
      <c r="P128" s="83">
        <v>2990</v>
      </c>
      <c r="Q128" s="314" t="s">
        <v>208</v>
      </c>
      <c r="R128" s="314" t="s">
        <v>208</v>
      </c>
      <c r="S128" s="80">
        <v>5.5</v>
      </c>
      <c r="T128" s="244">
        <v>0.7</v>
      </c>
      <c r="U128" s="247">
        <f t="shared" si="104"/>
        <v>255</v>
      </c>
      <c r="V128" s="275">
        <f t="shared" si="106"/>
        <v>455175</v>
      </c>
    </row>
    <row r="129" spans="1:22" ht="12" customHeight="1" hidden="1">
      <c r="A129" s="86">
        <f>EOMONTH(A130,0)+1</f>
        <v>40391</v>
      </c>
      <c r="B129" s="33"/>
      <c r="C129" s="584">
        <v>0.415</v>
      </c>
      <c r="D129" s="585"/>
      <c r="E129" s="586">
        <f t="shared" si="105"/>
        <v>249</v>
      </c>
      <c r="F129" s="587"/>
      <c r="G129" s="90">
        <v>100</v>
      </c>
      <c r="H129" s="301"/>
      <c r="I129" s="209">
        <v>17.08</v>
      </c>
      <c r="J129" s="210">
        <v>0.07</v>
      </c>
      <c r="K129" s="301"/>
      <c r="L129" s="81">
        <v>219</v>
      </c>
      <c r="M129" s="76">
        <v>62.5</v>
      </c>
      <c r="N129" s="76">
        <v>26</v>
      </c>
      <c r="O129" s="445">
        <v>3</v>
      </c>
      <c r="P129" s="83">
        <v>2990</v>
      </c>
      <c r="Q129" s="314" t="s">
        <v>208</v>
      </c>
      <c r="R129" s="314" t="s">
        <v>208</v>
      </c>
      <c r="S129" s="80">
        <v>5.5</v>
      </c>
      <c r="T129" s="244">
        <v>0.7</v>
      </c>
      <c r="U129" s="247">
        <f aca="true" t="shared" si="107" ref="U129:U134">ROUND(MAX(E129:F140),)</f>
        <v>253</v>
      </c>
      <c r="V129" s="275">
        <f t="shared" si="106"/>
        <v>451605</v>
      </c>
    </row>
    <row r="130" spans="1:22" ht="12" customHeight="1" hidden="1">
      <c r="A130" s="86">
        <f>EOMONTH(A131,0)+1</f>
        <v>40360</v>
      </c>
      <c r="B130" s="33"/>
      <c r="C130" s="584">
        <v>0.393</v>
      </c>
      <c r="D130" s="585"/>
      <c r="E130" s="586">
        <f t="shared" si="105"/>
        <v>235.8</v>
      </c>
      <c r="F130" s="587"/>
      <c r="G130" s="90">
        <v>100</v>
      </c>
      <c r="H130" s="301"/>
      <c r="I130" s="209">
        <v>17.55</v>
      </c>
      <c r="J130" s="210">
        <v>0.08</v>
      </c>
      <c r="K130" s="301"/>
      <c r="L130" s="81">
        <v>218</v>
      </c>
      <c r="M130" s="76">
        <v>62.2</v>
      </c>
      <c r="N130" s="76">
        <v>26</v>
      </c>
      <c r="O130" s="445">
        <v>3</v>
      </c>
      <c r="P130" s="83">
        <v>2910</v>
      </c>
      <c r="Q130" s="314" t="s">
        <v>208</v>
      </c>
      <c r="R130" s="314" t="s">
        <v>208</v>
      </c>
      <c r="S130" s="80">
        <v>5.5</v>
      </c>
      <c r="T130" s="244">
        <v>0.7</v>
      </c>
      <c r="U130" s="247">
        <f t="shared" si="107"/>
        <v>267</v>
      </c>
      <c r="V130" s="275">
        <f t="shared" si="106"/>
        <v>476595</v>
      </c>
    </row>
    <row r="131" spans="1:22" ht="12" customHeight="1" hidden="1">
      <c r="A131" s="86">
        <f>EOMONTH(A132,0)+1</f>
        <v>40330</v>
      </c>
      <c r="B131" s="33"/>
      <c r="C131" s="584">
        <v>0.314</v>
      </c>
      <c r="D131" s="585"/>
      <c r="E131" s="586">
        <f t="shared" si="105"/>
        <v>188.4</v>
      </c>
      <c r="F131" s="587"/>
      <c r="G131" s="90">
        <v>100</v>
      </c>
      <c r="H131" s="301"/>
      <c r="I131" s="209">
        <v>17.6</v>
      </c>
      <c r="J131" s="210">
        <v>0.08</v>
      </c>
      <c r="K131" s="301"/>
      <c r="L131" s="81">
        <v>218</v>
      </c>
      <c r="M131" s="76">
        <v>62.3</v>
      </c>
      <c r="N131" s="76">
        <v>26</v>
      </c>
      <c r="O131" s="445">
        <v>3</v>
      </c>
      <c r="P131" s="83">
        <v>2910</v>
      </c>
      <c r="Q131" s="314" t="s">
        <v>208</v>
      </c>
      <c r="R131" s="314" t="s">
        <v>208</v>
      </c>
      <c r="S131" s="80">
        <v>5.5</v>
      </c>
      <c r="T131" s="244">
        <v>0.7</v>
      </c>
      <c r="U131" s="247">
        <f t="shared" si="107"/>
        <v>267</v>
      </c>
      <c r="V131" s="275">
        <f t="shared" si="106"/>
        <v>476595</v>
      </c>
    </row>
    <row r="132" spans="1:22" ht="12" customHeight="1" hidden="1">
      <c r="A132" s="86">
        <f>EOMONTH(A133,0)+1</f>
        <v>40299</v>
      </c>
      <c r="B132" s="33"/>
      <c r="C132" s="584">
        <v>0.265</v>
      </c>
      <c r="D132" s="585"/>
      <c r="E132" s="586">
        <f aca="true" t="shared" si="108" ref="E132:E137">IF(C132="","",C132*600)</f>
        <v>159</v>
      </c>
      <c r="F132" s="587"/>
      <c r="G132" s="90">
        <v>100</v>
      </c>
      <c r="H132" s="301"/>
      <c r="I132" s="209">
        <v>17.7</v>
      </c>
      <c r="J132" s="210">
        <v>0.07</v>
      </c>
      <c r="K132" s="301"/>
      <c r="L132" s="81">
        <v>218</v>
      </c>
      <c r="M132" s="76">
        <v>62.2</v>
      </c>
      <c r="N132" s="76">
        <v>26.13</v>
      </c>
      <c r="O132" s="445">
        <v>3</v>
      </c>
      <c r="P132" s="83">
        <v>2950</v>
      </c>
      <c r="Q132" s="314" t="s">
        <v>208</v>
      </c>
      <c r="R132" s="314" t="s">
        <v>208</v>
      </c>
      <c r="S132" s="80">
        <v>5.5</v>
      </c>
      <c r="T132" s="244">
        <v>0.7</v>
      </c>
      <c r="U132" s="247">
        <f t="shared" si="107"/>
        <v>267</v>
      </c>
      <c r="V132" s="275">
        <f aca="true" t="shared" si="109" ref="V132:V137">IF(G132="","",ROUND(U132,0)*$V$93*(1+(85-G132)/100))</f>
        <v>476595</v>
      </c>
    </row>
    <row r="133" spans="1:22" ht="12" customHeight="1" hidden="1">
      <c r="A133" s="86">
        <f>EOMONTH(A134,0)+1</f>
        <v>40269</v>
      </c>
      <c r="B133" s="33"/>
      <c r="C133" s="584">
        <v>0.358</v>
      </c>
      <c r="D133" s="585"/>
      <c r="E133" s="586">
        <f t="shared" si="108"/>
        <v>214.79999999999998</v>
      </c>
      <c r="F133" s="587"/>
      <c r="G133" s="90">
        <v>100</v>
      </c>
      <c r="H133" s="301"/>
      <c r="I133" s="209">
        <v>17.7</v>
      </c>
      <c r="J133" s="210">
        <v>0.09</v>
      </c>
      <c r="K133" s="301"/>
      <c r="L133" s="81">
        <v>215</v>
      </c>
      <c r="M133" s="76">
        <v>62</v>
      </c>
      <c r="N133" s="76">
        <v>26.2</v>
      </c>
      <c r="O133" s="445">
        <v>2.5</v>
      </c>
      <c r="P133" s="83">
        <v>2900</v>
      </c>
      <c r="Q133" s="314" t="s">
        <v>208</v>
      </c>
      <c r="R133" s="314" t="s">
        <v>208</v>
      </c>
      <c r="S133" s="80">
        <v>5.4</v>
      </c>
      <c r="T133" s="244">
        <v>0.72</v>
      </c>
      <c r="U133" s="247">
        <f t="shared" si="107"/>
        <v>267</v>
      </c>
      <c r="V133" s="275">
        <f t="shared" si="109"/>
        <v>476595</v>
      </c>
    </row>
    <row r="134" spans="1:22" ht="12" customHeight="1" hidden="1">
      <c r="A134" s="86">
        <f>EOMONTH(A135,0)+1</f>
        <v>40238</v>
      </c>
      <c r="B134" s="33"/>
      <c r="C134" s="584">
        <v>0.362</v>
      </c>
      <c r="D134" s="585"/>
      <c r="E134" s="586">
        <f t="shared" si="108"/>
        <v>217.2</v>
      </c>
      <c r="F134" s="587"/>
      <c r="G134" s="90">
        <v>100</v>
      </c>
      <c r="H134" s="301"/>
      <c r="I134" s="209">
        <v>17.95</v>
      </c>
      <c r="J134" s="210">
        <v>0.08</v>
      </c>
      <c r="K134" s="301"/>
      <c r="L134" s="81">
        <v>215</v>
      </c>
      <c r="M134" s="76">
        <v>62</v>
      </c>
      <c r="N134" s="76">
        <v>26.3</v>
      </c>
      <c r="O134" s="445">
        <v>2.5</v>
      </c>
      <c r="P134" s="83">
        <v>2900</v>
      </c>
      <c r="Q134" s="314" t="s">
        <v>208</v>
      </c>
      <c r="R134" s="314" t="s">
        <v>208</v>
      </c>
      <c r="S134" s="80">
        <v>5.4</v>
      </c>
      <c r="T134" s="244">
        <v>0.72</v>
      </c>
      <c r="U134" s="247">
        <f t="shared" si="107"/>
        <v>267</v>
      </c>
      <c r="V134" s="275">
        <f t="shared" si="109"/>
        <v>476595</v>
      </c>
    </row>
    <row r="135" spans="1:22" ht="12" customHeight="1" hidden="1">
      <c r="A135" s="86">
        <f>EOMONTH(A136,0)+1</f>
        <v>40210</v>
      </c>
      <c r="B135" s="33"/>
      <c r="C135" s="584">
        <v>0.362</v>
      </c>
      <c r="D135" s="585"/>
      <c r="E135" s="586">
        <f t="shared" si="108"/>
        <v>217.2</v>
      </c>
      <c r="F135" s="587"/>
      <c r="G135" s="90">
        <v>100</v>
      </c>
      <c r="H135" s="301"/>
      <c r="I135" s="209">
        <v>17.7</v>
      </c>
      <c r="J135" s="210">
        <v>0.08</v>
      </c>
      <c r="K135" s="301"/>
      <c r="L135" s="81">
        <v>215</v>
      </c>
      <c r="M135" s="76">
        <v>61.8</v>
      </c>
      <c r="N135" s="76">
        <v>26.3</v>
      </c>
      <c r="O135" s="445">
        <v>2.4</v>
      </c>
      <c r="P135" s="83">
        <v>2880</v>
      </c>
      <c r="Q135" s="314" t="s">
        <v>208</v>
      </c>
      <c r="R135" s="314" t="s">
        <v>208</v>
      </c>
      <c r="S135" s="80">
        <v>5.4</v>
      </c>
      <c r="T135" s="244">
        <v>0.74</v>
      </c>
      <c r="U135" s="247">
        <f aca="true" t="shared" si="110" ref="U135:U140">ROUND(MAX(E135:F146),)</f>
        <v>267</v>
      </c>
      <c r="V135" s="275">
        <f t="shared" si="109"/>
        <v>476595</v>
      </c>
    </row>
    <row r="136" spans="1:22" ht="12" customHeight="1" hidden="1">
      <c r="A136" s="86">
        <f>EOMONTH(A137,0)+1</f>
        <v>40179</v>
      </c>
      <c r="B136" s="33"/>
      <c r="C136" s="584">
        <v>0.35</v>
      </c>
      <c r="D136" s="585"/>
      <c r="E136" s="586">
        <f t="shared" si="108"/>
        <v>210</v>
      </c>
      <c r="F136" s="587"/>
      <c r="G136" s="90">
        <v>100</v>
      </c>
      <c r="H136" s="301"/>
      <c r="I136" s="209">
        <v>17.8</v>
      </c>
      <c r="J136" s="210">
        <v>0.07</v>
      </c>
      <c r="K136" s="301"/>
      <c r="L136" s="81">
        <v>215</v>
      </c>
      <c r="M136" s="76">
        <v>61.9</v>
      </c>
      <c r="N136" s="76">
        <v>26.3</v>
      </c>
      <c r="O136" s="445">
        <v>2.4</v>
      </c>
      <c r="P136" s="83">
        <v>2860</v>
      </c>
      <c r="Q136" s="314" t="s">
        <v>208</v>
      </c>
      <c r="R136" s="314" t="s">
        <v>208</v>
      </c>
      <c r="S136" s="80">
        <v>5.4</v>
      </c>
      <c r="T136" s="244">
        <v>0.74</v>
      </c>
      <c r="U136" s="247">
        <f t="shared" si="110"/>
        <v>267</v>
      </c>
      <c r="V136" s="275">
        <f t="shared" si="109"/>
        <v>476595</v>
      </c>
    </row>
    <row r="137" spans="1:22" ht="12" customHeight="1" hidden="1">
      <c r="A137" s="86">
        <f>EOMONTH(A138,0)+1</f>
        <v>40148</v>
      </c>
      <c r="B137" s="33"/>
      <c r="C137" s="584">
        <v>0.3</v>
      </c>
      <c r="D137" s="585"/>
      <c r="E137" s="586">
        <f t="shared" si="108"/>
        <v>180</v>
      </c>
      <c r="F137" s="587"/>
      <c r="G137" s="90">
        <v>100</v>
      </c>
      <c r="H137" s="301"/>
      <c r="I137" s="209">
        <v>18</v>
      </c>
      <c r="J137" s="210">
        <v>0.08</v>
      </c>
      <c r="K137" s="301"/>
      <c r="L137" s="81">
        <v>216</v>
      </c>
      <c r="M137" s="76">
        <v>62.1</v>
      </c>
      <c r="N137" s="76">
        <v>26.3</v>
      </c>
      <c r="O137" s="445">
        <v>2.4</v>
      </c>
      <c r="P137" s="83">
        <v>2880</v>
      </c>
      <c r="Q137" s="314" t="s">
        <v>208</v>
      </c>
      <c r="R137" s="314" t="s">
        <v>208</v>
      </c>
      <c r="S137" s="80">
        <v>5.3</v>
      </c>
      <c r="T137" s="244">
        <v>0.74</v>
      </c>
      <c r="U137" s="247">
        <f t="shared" si="110"/>
        <v>267</v>
      </c>
      <c r="V137" s="275">
        <f t="shared" si="109"/>
        <v>476595</v>
      </c>
    </row>
    <row r="138" spans="1:22" ht="12" customHeight="1" hidden="1">
      <c r="A138" s="86">
        <f>EOMONTH(A139,0)+1</f>
        <v>40118</v>
      </c>
      <c r="B138" s="33"/>
      <c r="C138" s="584">
        <v>0.313</v>
      </c>
      <c r="D138" s="585"/>
      <c r="E138" s="586">
        <f aca="true" t="shared" si="111" ref="E138:E143">IF(C138="","",C138*600)</f>
        <v>187.8</v>
      </c>
      <c r="F138" s="587"/>
      <c r="G138" s="90">
        <v>100</v>
      </c>
      <c r="H138" s="301"/>
      <c r="I138" s="209">
        <v>17.7</v>
      </c>
      <c r="J138" s="210">
        <v>0.09</v>
      </c>
      <c r="K138" s="301"/>
      <c r="L138" s="81">
        <v>218</v>
      </c>
      <c r="M138" s="76">
        <v>62.2</v>
      </c>
      <c r="N138" s="76">
        <v>26</v>
      </c>
      <c r="O138" s="445">
        <v>2.4</v>
      </c>
      <c r="P138" s="83">
        <v>2900</v>
      </c>
      <c r="Q138" s="314" t="s">
        <v>208</v>
      </c>
      <c r="R138" s="314" t="s">
        <v>208</v>
      </c>
      <c r="S138" s="80">
        <v>5.3</v>
      </c>
      <c r="T138" s="244">
        <v>0.74</v>
      </c>
      <c r="U138" s="247">
        <f t="shared" si="110"/>
        <v>267</v>
      </c>
      <c r="V138" s="275">
        <f aca="true" t="shared" si="112" ref="V138:V143">IF(G138="","",ROUND(U138,0)*$V$93*(1+(85-G138)/100))</f>
        <v>476595</v>
      </c>
    </row>
    <row r="139" spans="1:22" ht="12" customHeight="1" hidden="1">
      <c r="A139" s="86">
        <f>EOMONTH(A140,0)+1</f>
        <v>40087</v>
      </c>
      <c r="B139" s="33"/>
      <c r="C139" s="584">
        <v>0.364</v>
      </c>
      <c r="D139" s="585"/>
      <c r="E139" s="586">
        <f t="shared" si="111"/>
        <v>218.4</v>
      </c>
      <c r="F139" s="587"/>
      <c r="G139" s="90">
        <v>100</v>
      </c>
      <c r="H139" s="301"/>
      <c r="I139" s="209">
        <v>17.9</v>
      </c>
      <c r="J139" s="210">
        <v>0.14</v>
      </c>
      <c r="K139" s="301"/>
      <c r="L139" s="81">
        <v>218</v>
      </c>
      <c r="M139" s="76">
        <v>62.3</v>
      </c>
      <c r="N139" s="76">
        <v>26.2</v>
      </c>
      <c r="O139" s="445">
        <v>2.5</v>
      </c>
      <c r="P139" s="83">
        <v>2900</v>
      </c>
      <c r="Q139" s="314" t="s">
        <v>208</v>
      </c>
      <c r="R139" s="314" t="s">
        <v>282</v>
      </c>
      <c r="S139" s="80">
        <v>5.3</v>
      </c>
      <c r="T139" s="244">
        <v>0.75</v>
      </c>
      <c r="U139" s="247">
        <f t="shared" si="110"/>
        <v>267</v>
      </c>
      <c r="V139" s="275">
        <f t="shared" si="112"/>
        <v>476595</v>
      </c>
    </row>
    <row r="140" spans="1:22" ht="12" customHeight="1" hidden="1">
      <c r="A140" s="86">
        <f>EOMONTH(A141,0)+1</f>
        <v>40057</v>
      </c>
      <c r="B140" s="33"/>
      <c r="C140" s="584">
        <v>0.421</v>
      </c>
      <c r="D140" s="585"/>
      <c r="E140" s="586">
        <f t="shared" si="111"/>
        <v>252.6</v>
      </c>
      <c r="F140" s="587"/>
      <c r="G140" s="90">
        <v>100</v>
      </c>
      <c r="H140" s="301"/>
      <c r="I140" s="209">
        <v>17.1</v>
      </c>
      <c r="J140" s="210">
        <v>0.08</v>
      </c>
      <c r="K140" s="301"/>
      <c r="L140" s="81">
        <v>218</v>
      </c>
      <c r="M140" s="76">
        <v>62.3</v>
      </c>
      <c r="N140" s="76">
        <v>26.2</v>
      </c>
      <c r="O140" s="445">
        <v>2.8</v>
      </c>
      <c r="P140" s="83">
        <v>2950</v>
      </c>
      <c r="Q140" s="314" t="s">
        <v>208</v>
      </c>
      <c r="R140" s="314" t="s">
        <v>282</v>
      </c>
      <c r="S140" s="80">
        <v>5.3</v>
      </c>
      <c r="T140" s="244">
        <v>0.75</v>
      </c>
      <c r="U140" s="247">
        <f t="shared" si="110"/>
        <v>267</v>
      </c>
      <c r="V140" s="275">
        <f t="shared" si="112"/>
        <v>476595</v>
      </c>
    </row>
    <row r="141" spans="1:22" ht="12" customHeight="1" hidden="1">
      <c r="A141" s="86">
        <f>EOMONTH(A142,0)+1</f>
        <v>40026</v>
      </c>
      <c r="B141" s="33"/>
      <c r="C141" s="584">
        <v>0.445</v>
      </c>
      <c r="D141" s="585"/>
      <c r="E141" s="586">
        <f t="shared" si="111"/>
        <v>267</v>
      </c>
      <c r="F141" s="587"/>
      <c r="G141" s="90">
        <v>100</v>
      </c>
      <c r="H141" s="301"/>
      <c r="I141" s="209">
        <v>17.5</v>
      </c>
      <c r="J141" s="210">
        <v>0.09</v>
      </c>
      <c r="K141" s="301"/>
      <c r="L141" s="81">
        <v>218</v>
      </c>
      <c r="M141" s="76">
        <v>62.3</v>
      </c>
      <c r="N141" s="76">
        <v>26.2</v>
      </c>
      <c r="O141" s="445">
        <v>2.8</v>
      </c>
      <c r="P141" s="83">
        <v>2950</v>
      </c>
      <c r="Q141" s="314" t="s">
        <v>208</v>
      </c>
      <c r="R141" s="314" t="s">
        <v>282</v>
      </c>
      <c r="S141" s="80">
        <v>5.3</v>
      </c>
      <c r="T141" s="244">
        <v>0.75</v>
      </c>
      <c r="U141" s="247">
        <f aca="true" t="shared" si="113" ref="U141:U146">ROUND(MAX(E141:F152),)</f>
        <v>299</v>
      </c>
      <c r="V141" s="275">
        <f t="shared" si="112"/>
        <v>533715</v>
      </c>
    </row>
    <row r="142" spans="1:22" ht="12" customHeight="1" hidden="1">
      <c r="A142" s="86">
        <f>EOMONTH(A143,0)+1</f>
        <v>39995</v>
      </c>
      <c r="B142" s="33"/>
      <c r="C142" s="584">
        <v>0.412</v>
      </c>
      <c r="D142" s="585"/>
      <c r="E142" s="586">
        <f t="shared" si="111"/>
        <v>247.2</v>
      </c>
      <c r="F142" s="587"/>
      <c r="G142" s="90">
        <v>100</v>
      </c>
      <c r="H142" s="301"/>
      <c r="I142" s="209">
        <v>17.4</v>
      </c>
      <c r="J142" s="210">
        <v>0.08</v>
      </c>
      <c r="K142" s="301"/>
      <c r="L142" s="81">
        <v>218</v>
      </c>
      <c r="M142" s="76">
        <v>62.3</v>
      </c>
      <c r="N142" s="76">
        <v>26.2</v>
      </c>
      <c r="O142" s="445">
        <v>2.8</v>
      </c>
      <c r="P142" s="83">
        <v>2950</v>
      </c>
      <c r="Q142" s="314" t="s">
        <v>208</v>
      </c>
      <c r="R142" s="314" t="s">
        <v>282</v>
      </c>
      <c r="S142" s="80">
        <v>5.2</v>
      </c>
      <c r="T142" s="244">
        <v>0.75</v>
      </c>
      <c r="U142" s="247">
        <f t="shared" si="113"/>
        <v>299</v>
      </c>
      <c r="V142" s="275">
        <f t="shared" si="112"/>
        <v>533715</v>
      </c>
    </row>
    <row r="143" spans="1:22" ht="12" customHeight="1" hidden="1">
      <c r="A143" s="86">
        <f>EOMONTH(A144,0)+1</f>
        <v>39965</v>
      </c>
      <c r="B143" s="33"/>
      <c r="C143" s="584">
        <v>0.365</v>
      </c>
      <c r="D143" s="585"/>
      <c r="E143" s="586">
        <f t="shared" si="111"/>
        <v>219</v>
      </c>
      <c r="F143" s="587"/>
      <c r="G143" s="90">
        <v>100</v>
      </c>
      <c r="H143" s="301"/>
      <c r="I143" s="209">
        <v>17.96</v>
      </c>
      <c r="J143" s="210">
        <v>0.09</v>
      </c>
      <c r="K143" s="301"/>
      <c r="L143" s="81">
        <v>218</v>
      </c>
      <c r="M143" s="76">
        <v>62.3</v>
      </c>
      <c r="N143" s="76">
        <v>26.3</v>
      </c>
      <c r="O143" s="445">
        <v>2.8</v>
      </c>
      <c r="P143" s="83">
        <v>2900</v>
      </c>
      <c r="Q143" s="314" t="s">
        <v>208</v>
      </c>
      <c r="R143" s="314" t="s">
        <v>282</v>
      </c>
      <c r="S143" s="80">
        <v>5.2</v>
      </c>
      <c r="T143" s="244">
        <v>0.75</v>
      </c>
      <c r="U143" s="247">
        <f t="shared" si="113"/>
        <v>299</v>
      </c>
      <c r="V143" s="275">
        <f t="shared" si="112"/>
        <v>533715</v>
      </c>
    </row>
    <row r="144" spans="1:22" ht="12" customHeight="1" hidden="1">
      <c r="A144" s="86">
        <f>EOMONTH(A145,0)+1</f>
        <v>39934</v>
      </c>
      <c r="B144" s="33"/>
      <c r="C144" s="584">
        <v>0.354</v>
      </c>
      <c r="D144" s="585"/>
      <c r="E144" s="586">
        <f aca="true" t="shared" si="114" ref="E144:E149">IF(C144="","",C144*600)</f>
        <v>212.39999999999998</v>
      </c>
      <c r="F144" s="587"/>
      <c r="G144" s="90">
        <v>100</v>
      </c>
      <c r="H144" s="301"/>
      <c r="I144" s="209">
        <v>18.1</v>
      </c>
      <c r="J144" s="210">
        <v>0.08</v>
      </c>
      <c r="K144" s="301"/>
      <c r="L144" s="81">
        <v>217</v>
      </c>
      <c r="M144" s="76">
        <v>62.2</v>
      </c>
      <c r="N144" s="76">
        <v>26.2</v>
      </c>
      <c r="O144" s="445">
        <v>2.5</v>
      </c>
      <c r="P144" s="83">
        <v>2900</v>
      </c>
      <c r="Q144" s="314" t="s">
        <v>208</v>
      </c>
      <c r="R144" s="314" t="s">
        <v>208</v>
      </c>
      <c r="S144" s="80">
        <v>5.2</v>
      </c>
      <c r="T144" s="244">
        <v>0.75</v>
      </c>
      <c r="U144" s="247">
        <f t="shared" si="113"/>
        <v>299</v>
      </c>
      <c r="V144" s="275">
        <f aca="true" t="shared" si="115" ref="V144:V149">IF(G144="","",ROUND(U144,0)*$V$93*(1+(85-G144)/100))</f>
        <v>533715</v>
      </c>
    </row>
    <row r="145" spans="1:22" ht="12" customHeight="1" hidden="1">
      <c r="A145" s="86">
        <f>EOMONTH(A146,0)+1</f>
        <v>39904</v>
      </c>
      <c r="B145" s="33"/>
      <c r="C145" s="584">
        <v>0.344</v>
      </c>
      <c r="D145" s="585"/>
      <c r="E145" s="586">
        <f t="shared" si="114"/>
        <v>206.39999999999998</v>
      </c>
      <c r="F145" s="587"/>
      <c r="G145" s="90">
        <v>100</v>
      </c>
      <c r="H145" s="301"/>
      <c r="I145" s="209">
        <v>18.3</v>
      </c>
      <c r="J145" s="210">
        <v>0.09</v>
      </c>
      <c r="K145" s="301"/>
      <c r="L145" s="81">
        <v>216</v>
      </c>
      <c r="M145" s="76">
        <v>62.1</v>
      </c>
      <c r="N145" s="76">
        <v>26.2</v>
      </c>
      <c r="O145" s="445">
        <v>2.6</v>
      </c>
      <c r="P145" s="83">
        <v>2900</v>
      </c>
      <c r="Q145" s="314" t="s">
        <v>208</v>
      </c>
      <c r="R145" s="314" t="s">
        <v>208</v>
      </c>
      <c r="S145" s="80">
        <v>5.2</v>
      </c>
      <c r="T145" s="244">
        <v>0.75</v>
      </c>
      <c r="U145" s="247">
        <f t="shared" si="113"/>
        <v>299</v>
      </c>
      <c r="V145" s="275">
        <f t="shared" si="115"/>
        <v>533715</v>
      </c>
    </row>
    <row r="146" spans="1:22" ht="12" customHeight="1" hidden="1">
      <c r="A146" s="86">
        <f>EOMONTH(A147,0)+1</f>
        <v>39873</v>
      </c>
      <c r="B146" s="33"/>
      <c r="C146" s="584">
        <v>0.385</v>
      </c>
      <c r="D146" s="585"/>
      <c r="E146" s="586">
        <f t="shared" si="114"/>
        <v>231</v>
      </c>
      <c r="F146" s="587"/>
      <c r="G146" s="90">
        <v>100</v>
      </c>
      <c r="H146" s="301"/>
      <c r="I146" s="209">
        <v>18.3</v>
      </c>
      <c r="J146" s="210">
        <v>0.06</v>
      </c>
      <c r="K146" s="301"/>
      <c r="L146" s="81">
        <v>215</v>
      </c>
      <c r="M146" s="76">
        <v>61.5</v>
      </c>
      <c r="N146" s="76">
        <v>26.2</v>
      </c>
      <c r="O146" s="445">
        <v>2.5</v>
      </c>
      <c r="P146" s="83">
        <v>2890</v>
      </c>
      <c r="Q146" s="314" t="s">
        <v>208</v>
      </c>
      <c r="R146" s="314" t="s">
        <v>208</v>
      </c>
      <c r="S146" s="80">
        <v>5.2</v>
      </c>
      <c r="T146" s="244">
        <v>0.75</v>
      </c>
      <c r="U146" s="247">
        <f t="shared" si="113"/>
        <v>299</v>
      </c>
      <c r="V146" s="275">
        <f t="shared" si="115"/>
        <v>533715</v>
      </c>
    </row>
    <row r="147" spans="1:22" ht="12" customHeight="1" hidden="1">
      <c r="A147" s="86">
        <f>EOMONTH(A148,0)+1</f>
        <v>39845</v>
      </c>
      <c r="B147" s="33"/>
      <c r="C147" s="584">
        <v>0.409</v>
      </c>
      <c r="D147" s="585"/>
      <c r="E147" s="586">
        <f t="shared" si="114"/>
        <v>245.39999999999998</v>
      </c>
      <c r="F147" s="587"/>
      <c r="G147" s="90">
        <v>100</v>
      </c>
      <c r="H147" s="301"/>
      <c r="I147" s="209">
        <v>18.2</v>
      </c>
      <c r="J147" s="210">
        <v>0.1</v>
      </c>
      <c r="K147" s="301"/>
      <c r="L147" s="81">
        <v>215</v>
      </c>
      <c r="M147" s="76">
        <v>62</v>
      </c>
      <c r="N147" s="76">
        <v>26.3</v>
      </c>
      <c r="O147" s="445">
        <v>2</v>
      </c>
      <c r="P147" s="83">
        <v>2890</v>
      </c>
      <c r="Q147" s="314" t="s">
        <v>208</v>
      </c>
      <c r="R147" s="314" t="s">
        <v>208</v>
      </c>
      <c r="S147" s="80">
        <v>5.2</v>
      </c>
      <c r="T147" s="244">
        <v>0.75</v>
      </c>
      <c r="U147" s="247">
        <f aca="true" t="shared" si="116" ref="U147:U152">ROUND(MAX(E147:F158),)</f>
        <v>299</v>
      </c>
      <c r="V147" s="275">
        <f t="shared" si="115"/>
        <v>533715</v>
      </c>
    </row>
    <row r="148" spans="1:22" ht="12" customHeight="1" hidden="1">
      <c r="A148" s="86">
        <f>EOMONTH(A149,0)+1</f>
        <v>39814</v>
      </c>
      <c r="B148" s="33"/>
      <c r="C148" s="584">
        <v>0.341</v>
      </c>
      <c r="D148" s="585"/>
      <c r="E148" s="586">
        <f t="shared" si="114"/>
        <v>204.60000000000002</v>
      </c>
      <c r="F148" s="587"/>
      <c r="G148" s="90">
        <v>100</v>
      </c>
      <c r="H148" s="301"/>
      <c r="I148" s="209">
        <v>18.3</v>
      </c>
      <c r="J148" s="210">
        <v>0.1</v>
      </c>
      <c r="K148" s="301"/>
      <c r="L148" s="81">
        <v>215</v>
      </c>
      <c r="M148" s="76">
        <v>62</v>
      </c>
      <c r="N148" s="76">
        <v>26</v>
      </c>
      <c r="O148" s="445">
        <v>2.5</v>
      </c>
      <c r="P148" s="83">
        <v>2890</v>
      </c>
      <c r="Q148" s="314" t="s">
        <v>208</v>
      </c>
      <c r="R148" s="314" t="s">
        <v>208</v>
      </c>
      <c r="S148" s="80">
        <v>5.1</v>
      </c>
      <c r="T148" s="244">
        <v>0.76</v>
      </c>
      <c r="U148" s="247">
        <f t="shared" si="116"/>
        <v>299</v>
      </c>
      <c r="V148" s="275">
        <f t="shared" si="115"/>
        <v>533715</v>
      </c>
    </row>
    <row r="149" spans="1:22" ht="12" customHeight="1" hidden="1">
      <c r="A149" s="86">
        <f>EOMONTH(A150,0)+1</f>
        <v>39783</v>
      </c>
      <c r="B149" s="33"/>
      <c r="C149" s="584">
        <v>0.353</v>
      </c>
      <c r="D149" s="585"/>
      <c r="E149" s="586">
        <f t="shared" si="114"/>
        <v>211.79999999999998</v>
      </c>
      <c r="F149" s="587"/>
      <c r="G149" s="90">
        <v>100</v>
      </c>
      <c r="H149" s="301"/>
      <c r="I149" s="209">
        <v>18.1</v>
      </c>
      <c r="J149" s="210">
        <v>0.06</v>
      </c>
      <c r="K149" s="301"/>
      <c r="L149" s="81">
        <v>218</v>
      </c>
      <c r="M149" s="76">
        <v>62.1</v>
      </c>
      <c r="N149" s="76">
        <v>26</v>
      </c>
      <c r="O149" s="445">
        <v>2.5</v>
      </c>
      <c r="P149" s="83">
        <v>2900</v>
      </c>
      <c r="Q149" s="314" t="s">
        <v>256</v>
      </c>
      <c r="R149" s="314" t="s">
        <v>256</v>
      </c>
      <c r="S149" s="80">
        <v>5.1</v>
      </c>
      <c r="T149" s="244">
        <v>0.76</v>
      </c>
      <c r="U149" s="247">
        <f t="shared" si="116"/>
        <v>299</v>
      </c>
      <c r="V149" s="275">
        <f t="shared" si="115"/>
        <v>533715</v>
      </c>
    </row>
    <row r="150" spans="1:22" ht="12" customHeight="1" hidden="1">
      <c r="A150" s="86">
        <f>EOMONTH(A151,0)+1</f>
        <v>39753</v>
      </c>
      <c r="B150" s="33"/>
      <c r="C150" s="584">
        <v>0.366</v>
      </c>
      <c r="D150" s="585"/>
      <c r="E150" s="586">
        <f aca="true" t="shared" si="117" ref="E150:E155">IF(C150="","",C150*600)</f>
        <v>219.6</v>
      </c>
      <c r="F150" s="587"/>
      <c r="G150" s="90">
        <v>100</v>
      </c>
      <c r="H150" s="301"/>
      <c r="I150" s="209">
        <v>18.2</v>
      </c>
      <c r="J150" s="210">
        <v>0.08</v>
      </c>
      <c r="K150" s="301"/>
      <c r="L150" s="81">
        <v>218</v>
      </c>
      <c r="M150" s="76">
        <v>62.2</v>
      </c>
      <c r="N150" s="76">
        <v>26</v>
      </c>
      <c r="O150" s="445">
        <v>2.5</v>
      </c>
      <c r="P150" s="83">
        <v>2900</v>
      </c>
      <c r="Q150" s="314" t="s">
        <v>208</v>
      </c>
      <c r="R150" s="314" t="s">
        <v>208</v>
      </c>
      <c r="S150" s="80">
        <v>5.1</v>
      </c>
      <c r="T150" s="244">
        <v>0.76</v>
      </c>
      <c r="U150" s="247">
        <f t="shared" si="116"/>
        <v>299</v>
      </c>
      <c r="V150" s="275">
        <f aca="true" t="shared" si="118" ref="V150:V155">IF(G150="","",ROUND(U150,0)*$V$93*(1+(85-G150)/100))</f>
        <v>533715</v>
      </c>
    </row>
    <row r="151" spans="1:22" ht="12" customHeight="1" hidden="1">
      <c r="A151" s="86">
        <f>EOMONTH(A152,0)+1</f>
        <v>39722</v>
      </c>
      <c r="B151" s="33"/>
      <c r="C151" s="584">
        <v>0.432</v>
      </c>
      <c r="D151" s="585"/>
      <c r="E151" s="586">
        <f t="shared" si="117"/>
        <v>259.2</v>
      </c>
      <c r="F151" s="587"/>
      <c r="G151" s="90">
        <v>100</v>
      </c>
      <c r="H151" s="301"/>
      <c r="I151" s="209">
        <v>18.3</v>
      </c>
      <c r="J151" s="210">
        <v>0.09</v>
      </c>
      <c r="K151" s="301"/>
      <c r="L151" s="81">
        <v>218</v>
      </c>
      <c r="M151" s="76">
        <v>62.3</v>
      </c>
      <c r="N151" s="76">
        <v>26.3</v>
      </c>
      <c r="O151" s="445">
        <v>2.7</v>
      </c>
      <c r="P151" s="83">
        <v>2900</v>
      </c>
      <c r="Q151" s="314" t="s">
        <v>208</v>
      </c>
      <c r="R151" s="314" t="s">
        <v>208</v>
      </c>
      <c r="S151" s="80">
        <v>5</v>
      </c>
      <c r="T151" s="244">
        <v>0.8</v>
      </c>
      <c r="U151" s="247">
        <f t="shared" si="116"/>
        <v>299</v>
      </c>
      <c r="V151" s="275">
        <f t="shared" si="118"/>
        <v>533715</v>
      </c>
    </row>
    <row r="152" spans="1:22" ht="12" customHeight="1" hidden="1">
      <c r="A152" s="86">
        <f>EOMONTH(A153,0)+1</f>
        <v>39692</v>
      </c>
      <c r="B152" s="33"/>
      <c r="C152" s="584">
        <v>0.498</v>
      </c>
      <c r="D152" s="585"/>
      <c r="E152" s="586">
        <f t="shared" si="117"/>
        <v>298.8</v>
      </c>
      <c r="F152" s="587"/>
      <c r="G152" s="90">
        <v>100</v>
      </c>
      <c r="H152" s="301"/>
      <c r="I152" s="209">
        <v>17.9</v>
      </c>
      <c r="J152" s="210">
        <v>0.1</v>
      </c>
      <c r="K152" s="301"/>
      <c r="L152" s="81">
        <v>218</v>
      </c>
      <c r="M152" s="76">
        <v>62.3</v>
      </c>
      <c r="N152" s="76">
        <v>26</v>
      </c>
      <c r="O152" s="445">
        <v>2.7</v>
      </c>
      <c r="P152" s="83">
        <v>2950</v>
      </c>
      <c r="Q152" s="314" t="s">
        <v>208</v>
      </c>
      <c r="R152" s="314" t="s">
        <v>208</v>
      </c>
      <c r="S152" s="80">
        <v>5</v>
      </c>
      <c r="T152" s="244">
        <v>0.8</v>
      </c>
      <c r="U152" s="247">
        <f t="shared" si="116"/>
        <v>299</v>
      </c>
      <c r="V152" s="275">
        <f t="shared" si="118"/>
        <v>533715</v>
      </c>
    </row>
    <row r="153" spans="1:22" ht="12" customHeight="1" hidden="1">
      <c r="A153" s="86">
        <f>EOMONTH(A154,0)+1</f>
        <v>39661</v>
      </c>
      <c r="B153" s="33"/>
      <c r="C153" s="584">
        <v>0.499</v>
      </c>
      <c r="D153" s="585"/>
      <c r="E153" s="586">
        <f t="shared" si="117"/>
        <v>299.4</v>
      </c>
      <c r="F153" s="587"/>
      <c r="G153" s="90">
        <v>100</v>
      </c>
      <c r="H153" s="301"/>
      <c r="I153" s="209">
        <v>17.8</v>
      </c>
      <c r="J153" s="210">
        <v>0.11</v>
      </c>
      <c r="K153" s="301"/>
      <c r="L153" s="81">
        <v>218</v>
      </c>
      <c r="M153" s="76">
        <v>62.4</v>
      </c>
      <c r="N153" s="76">
        <v>26</v>
      </c>
      <c r="O153" s="445">
        <v>2.7</v>
      </c>
      <c r="P153" s="83">
        <v>2950</v>
      </c>
      <c r="Q153" s="314" t="s">
        <v>208</v>
      </c>
      <c r="R153" s="314" t="s">
        <v>208</v>
      </c>
      <c r="S153" s="80">
        <v>5</v>
      </c>
      <c r="T153" s="244">
        <v>0.8</v>
      </c>
      <c r="U153" s="247">
        <f>ROUND(MAX(E153:F$163),)</f>
        <v>299</v>
      </c>
      <c r="V153" s="275">
        <f t="shared" si="118"/>
        <v>533715</v>
      </c>
    </row>
    <row r="154" spans="1:22" ht="12" customHeight="1" hidden="1">
      <c r="A154" s="86">
        <f>EOMONTH(A155,0)+1</f>
        <v>39630</v>
      </c>
      <c r="B154" s="33"/>
      <c r="C154" s="584">
        <v>0.427</v>
      </c>
      <c r="D154" s="585"/>
      <c r="E154" s="586">
        <f t="shared" si="117"/>
        <v>256.2</v>
      </c>
      <c r="F154" s="587"/>
      <c r="G154" s="90">
        <v>100</v>
      </c>
      <c r="H154" s="301"/>
      <c r="I154" s="209">
        <v>17.6</v>
      </c>
      <c r="J154" s="210">
        <v>0.09</v>
      </c>
      <c r="K154" s="301"/>
      <c r="L154" s="81">
        <v>218</v>
      </c>
      <c r="M154" s="76">
        <v>62.5</v>
      </c>
      <c r="N154" s="76">
        <v>26.3</v>
      </c>
      <c r="O154" s="445">
        <v>2.7</v>
      </c>
      <c r="P154" s="83">
        <v>2950</v>
      </c>
      <c r="Q154" s="314" t="s">
        <v>208</v>
      </c>
      <c r="R154" s="314" t="s">
        <v>208</v>
      </c>
      <c r="S154" s="80">
        <v>5</v>
      </c>
      <c r="T154" s="244">
        <v>0.8</v>
      </c>
      <c r="U154" s="247">
        <f>ROUND(MAX(E154:F$163),)</f>
        <v>256</v>
      </c>
      <c r="V154" s="275">
        <f t="shared" si="118"/>
        <v>456960</v>
      </c>
    </row>
    <row r="155" spans="1:22" ht="12" customHeight="1" hidden="1">
      <c r="A155" s="86">
        <f>EOMONTH(A156,0)+1</f>
        <v>39600</v>
      </c>
      <c r="B155" s="33"/>
      <c r="C155" s="584">
        <v>0.374</v>
      </c>
      <c r="D155" s="585"/>
      <c r="E155" s="586">
        <f t="shared" si="117"/>
        <v>224.4</v>
      </c>
      <c r="F155" s="587"/>
      <c r="G155" s="90">
        <v>100</v>
      </c>
      <c r="H155" s="301"/>
      <c r="I155" s="209">
        <v>18.2</v>
      </c>
      <c r="J155" s="210">
        <v>0.07</v>
      </c>
      <c r="K155" s="301"/>
      <c r="L155" s="81">
        <v>217</v>
      </c>
      <c r="M155" s="76">
        <v>62.2</v>
      </c>
      <c r="N155" s="76">
        <v>26.2</v>
      </c>
      <c r="O155" s="445">
        <v>2.6</v>
      </c>
      <c r="P155" s="83">
        <v>2900</v>
      </c>
      <c r="Q155" s="314" t="s">
        <v>256</v>
      </c>
      <c r="R155" s="314" t="s">
        <v>256</v>
      </c>
      <c r="S155" s="80">
        <v>4.9</v>
      </c>
      <c r="T155" s="244">
        <v>0.8</v>
      </c>
      <c r="U155" s="247">
        <f>ROUND(MAX(E155:F$163),)</f>
        <v>232</v>
      </c>
      <c r="V155" s="275">
        <f t="shared" si="118"/>
        <v>414120</v>
      </c>
    </row>
    <row r="156" spans="1:22" ht="12" customHeight="1" hidden="1">
      <c r="A156" s="86">
        <f>EOMONTH(A157,0)+1</f>
        <v>39569</v>
      </c>
      <c r="B156" s="33"/>
      <c r="C156" s="584">
        <v>0.387</v>
      </c>
      <c r="D156" s="585"/>
      <c r="E156" s="586">
        <f aca="true" t="shared" si="119" ref="E156:E161">IF(C156="","",C156*600)</f>
        <v>232.20000000000002</v>
      </c>
      <c r="F156" s="587"/>
      <c r="G156" s="90">
        <v>100</v>
      </c>
      <c r="H156" s="301"/>
      <c r="I156" s="209">
        <v>18</v>
      </c>
      <c r="J156" s="210">
        <v>0.06</v>
      </c>
      <c r="K156" s="301"/>
      <c r="L156" s="81">
        <v>217</v>
      </c>
      <c r="M156" s="76">
        <v>62.2</v>
      </c>
      <c r="N156" s="76">
        <v>26.2</v>
      </c>
      <c r="O156" s="445">
        <v>2.6</v>
      </c>
      <c r="P156" s="83">
        <v>2900</v>
      </c>
      <c r="Q156" s="314" t="s">
        <v>208</v>
      </c>
      <c r="R156" s="314" t="s">
        <v>208</v>
      </c>
      <c r="S156" s="80">
        <v>4.9</v>
      </c>
      <c r="T156" s="244">
        <v>0.8</v>
      </c>
      <c r="U156" s="247">
        <f>ROUND(MAX(E156:F$163),)</f>
        <v>232</v>
      </c>
      <c r="V156" s="275">
        <f aca="true" t="shared" si="120" ref="V156:V161">IF(G156="","",ROUND(U156,0)*$V$93*(1+(85-G156)/100))</f>
        <v>414120</v>
      </c>
    </row>
    <row r="157" spans="1:22" ht="12" customHeight="1" hidden="1">
      <c r="A157" s="86">
        <f>EOMONTH(A158,0)+1</f>
        <v>39539</v>
      </c>
      <c r="B157" s="33"/>
      <c r="C157" s="584">
        <v>0.365</v>
      </c>
      <c r="D157" s="585"/>
      <c r="E157" s="586">
        <f t="shared" si="119"/>
        <v>219</v>
      </c>
      <c r="F157" s="587"/>
      <c r="G157" s="90">
        <v>100</v>
      </c>
      <c r="H157" s="301"/>
      <c r="I157" s="209">
        <v>18.4</v>
      </c>
      <c r="J157" s="210">
        <v>0.07</v>
      </c>
      <c r="K157" s="301"/>
      <c r="L157" s="81">
        <v>216</v>
      </c>
      <c r="M157" s="76">
        <v>62.2</v>
      </c>
      <c r="N157" s="76">
        <v>26.3</v>
      </c>
      <c r="O157" s="445">
        <v>2.4</v>
      </c>
      <c r="P157" s="83">
        <v>2900</v>
      </c>
      <c r="Q157" s="314" t="s">
        <v>256</v>
      </c>
      <c r="R157" s="314" t="s">
        <v>256</v>
      </c>
      <c r="S157" s="80">
        <v>4.9</v>
      </c>
      <c r="T157" s="244">
        <v>0.8</v>
      </c>
      <c r="U157" s="247">
        <f>ROUND(MAX(E157:F$163),)</f>
        <v>232</v>
      </c>
      <c r="V157" s="275">
        <f t="shared" si="120"/>
        <v>414120</v>
      </c>
    </row>
    <row r="158" spans="1:22" ht="12" customHeight="1" hidden="1">
      <c r="A158" s="86">
        <f>EOMONTH(A159,0)+1</f>
        <v>39508</v>
      </c>
      <c r="B158" s="33"/>
      <c r="C158" s="584">
        <v>0.387</v>
      </c>
      <c r="D158" s="585"/>
      <c r="E158" s="586">
        <f t="shared" si="119"/>
        <v>232.20000000000002</v>
      </c>
      <c r="F158" s="587"/>
      <c r="G158" s="90">
        <v>100</v>
      </c>
      <c r="H158" s="301"/>
      <c r="I158" s="209">
        <v>18.2</v>
      </c>
      <c r="J158" s="210">
        <v>0.1</v>
      </c>
      <c r="K158" s="301"/>
      <c r="L158" s="81">
        <v>215</v>
      </c>
      <c r="M158" s="76">
        <v>61.9</v>
      </c>
      <c r="N158" s="76">
        <v>26.2</v>
      </c>
      <c r="O158" s="445">
        <v>2.4</v>
      </c>
      <c r="P158" s="83">
        <v>2880</v>
      </c>
      <c r="Q158" s="314" t="s">
        <v>256</v>
      </c>
      <c r="R158" s="314" t="s">
        <v>256</v>
      </c>
      <c r="S158" s="80">
        <v>4.9</v>
      </c>
      <c r="T158" s="244">
        <v>0.8</v>
      </c>
      <c r="U158" s="247">
        <f>ROUND(MAX(E158:F$163),)</f>
        <v>232</v>
      </c>
      <c r="V158" s="275">
        <f t="shared" si="120"/>
        <v>414120</v>
      </c>
    </row>
    <row r="159" spans="1:22" ht="12" customHeight="1" hidden="1">
      <c r="A159" s="86">
        <f>EOMONTH(A160,0)+1</f>
        <v>39479</v>
      </c>
      <c r="B159" s="33"/>
      <c r="C159" s="584">
        <v>0.374</v>
      </c>
      <c r="D159" s="585"/>
      <c r="E159" s="586">
        <f t="shared" si="119"/>
        <v>224.4</v>
      </c>
      <c r="F159" s="587"/>
      <c r="G159" s="90">
        <v>100</v>
      </c>
      <c r="H159" s="301"/>
      <c r="I159" s="209">
        <v>18.3</v>
      </c>
      <c r="J159" s="210">
        <v>0.06</v>
      </c>
      <c r="K159" s="301"/>
      <c r="L159" s="81">
        <v>215</v>
      </c>
      <c r="M159" s="76">
        <v>61.9</v>
      </c>
      <c r="N159" s="76">
        <v>26.2</v>
      </c>
      <c r="O159" s="445">
        <v>2.4</v>
      </c>
      <c r="P159" s="83">
        <v>2880</v>
      </c>
      <c r="Q159" s="314" t="s">
        <v>256</v>
      </c>
      <c r="R159" s="314" t="s">
        <v>256</v>
      </c>
      <c r="S159" s="80">
        <v>4.9</v>
      </c>
      <c r="T159" s="244">
        <v>0.8</v>
      </c>
      <c r="U159" s="247">
        <f>ROUND(MAX(E159:F$163),)</f>
        <v>224</v>
      </c>
      <c r="V159" s="275">
        <f t="shared" si="120"/>
        <v>399840</v>
      </c>
    </row>
    <row r="160" spans="1:22" ht="12" customHeight="1" hidden="1">
      <c r="A160" s="86">
        <f>EOMONTH(A161,0)+1</f>
        <v>39448</v>
      </c>
      <c r="B160" s="33"/>
      <c r="C160" s="584">
        <v>0.355</v>
      </c>
      <c r="D160" s="585"/>
      <c r="E160" s="586">
        <f t="shared" si="119"/>
        <v>213</v>
      </c>
      <c r="F160" s="587"/>
      <c r="G160" s="90">
        <v>100</v>
      </c>
      <c r="H160" s="301"/>
      <c r="I160" s="209">
        <v>18.3</v>
      </c>
      <c r="J160" s="210">
        <v>0.08</v>
      </c>
      <c r="K160" s="301"/>
      <c r="L160" s="81">
        <v>215</v>
      </c>
      <c r="M160" s="76">
        <v>62</v>
      </c>
      <c r="N160" s="76">
        <v>26.2</v>
      </c>
      <c r="O160" s="445">
        <v>2</v>
      </c>
      <c r="P160" s="83">
        <v>2900</v>
      </c>
      <c r="Q160" s="314" t="s">
        <v>256</v>
      </c>
      <c r="R160" s="314" t="s">
        <v>256</v>
      </c>
      <c r="S160" s="80">
        <v>4.9</v>
      </c>
      <c r="T160" s="244">
        <v>0.8</v>
      </c>
      <c r="U160" s="247">
        <f>ROUND(MAX(E160:F$163),)</f>
        <v>215</v>
      </c>
      <c r="V160" s="275">
        <f t="shared" si="120"/>
        <v>383775</v>
      </c>
    </row>
    <row r="161" spans="1:22" ht="12" customHeight="1" hidden="1">
      <c r="A161" s="86">
        <f>EOMONTH(A162,0)+1</f>
        <v>39417</v>
      </c>
      <c r="B161" s="33"/>
      <c r="C161" s="584">
        <v>0.357</v>
      </c>
      <c r="D161" s="585"/>
      <c r="E161" s="586">
        <f t="shared" si="119"/>
        <v>214.2</v>
      </c>
      <c r="F161" s="587"/>
      <c r="G161" s="90">
        <v>100</v>
      </c>
      <c r="H161" s="301"/>
      <c r="I161" s="209">
        <v>18</v>
      </c>
      <c r="J161" s="210">
        <v>0.04</v>
      </c>
      <c r="K161" s="301"/>
      <c r="L161" s="81">
        <v>215</v>
      </c>
      <c r="M161" s="76">
        <v>62.1</v>
      </c>
      <c r="N161" s="76">
        <v>26</v>
      </c>
      <c r="O161" s="445">
        <v>2</v>
      </c>
      <c r="P161" s="83">
        <v>2900</v>
      </c>
      <c r="Q161" s="314" t="s">
        <v>256</v>
      </c>
      <c r="R161" s="314" t="s">
        <v>256</v>
      </c>
      <c r="S161" s="80">
        <v>4.8</v>
      </c>
      <c r="T161" s="244">
        <v>0.8</v>
      </c>
      <c r="U161" s="247">
        <f>ROUND(MAX(E161:F$163),)</f>
        <v>215</v>
      </c>
      <c r="V161" s="275">
        <f t="shared" si="120"/>
        <v>383775</v>
      </c>
    </row>
    <row r="162" spans="1:22" ht="12" customHeight="1" hidden="1">
      <c r="A162" s="86">
        <f>EOMONTH(A163,0)+1</f>
        <v>39387</v>
      </c>
      <c r="B162" s="33"/>
      <c r="C162" s="584">
        <v>0.359</v>
      </c>
      <c r="D162" s="585"/>
      <c r="E162" s="586">
        <f aca="true" t="shared" si="121" ref="E162:E167">IF(C162="","",C162*600)</f>
        <v>215.39999999999998</v>
      </c>
      <c r="F162" s="587"/>
      <c r="G162" s="90">
        <v>100</v>
      </c>
      <c r="H162" s="301"/>
      <c r="I162" s="209">
        <v>18</v>
      </c>
      <c r="J162" s="210">
        <v>0.08</v>
      </c>
      <c r="K162" s="301"/>
      <c r="L162" s="81">
        <v>217</v>
      </c>
      <c r="M162" s="76">
        <v>62.4</v>
      </c>
      <c r="N162" s="76">
        <v>26.2</v>
      </c>
      <c r="O162" s="445">
        <v>2.4</v>
      </c>
      <c r="P162" s="83">
        <v>2900</v>
      </c>
      <c r="Q162" s="314" t="s">
        <v>256</v>
      </c>
      <c r="R162" s="314" t="s">
        <v>256</v>
      </c>
      <c r="S162" s="80">
        <v>4.8</v>
      </c>
      <c r="T162" s="244">
        <v>0.85</v>
      </c>
      <c r="U162" s="247">
        <f>ROUND(MAX(E162:F$163),)</f>
        <v>215</v>
      </c>
      <c r="V162" s="275">
        <f aca="true" t="shared" si="122" ref="V162:V167">IF(G162="","",ROUND(U162,0)*$V$93*(1+(85-G162)/100))</f>
        <v>383775</v>
      </c>
    </row>
    <row r="163" spans="1:22" ht="12" customHeight="1" hidden="1">
      <c r="A163" s="86">
        <f>EOMONTH(A164,0)+1</f>
        <v>39356</v>
      </c>
      <c r="B163" s="33"/>
      <c r="C163" s="584">
        <v>0.003</v>
      </c>
      <c r="D163" s="585"/>
      <c r="E163" s="586">
        <f t="shared" si="121"/>
        <v>1.8</v>
      </c>
      <c r="F163" s="587"/>
      <c r="G163" s="90">
        <v>100</v>
      </c>
      <c r="H163" s="301"/>
      <c r="I163" s="209">
        <v>18.3</v>
      </c>
      <c r="J163" s="210">
        <v>0.1</v>
      </c>
      <c r="K163" s="301"/>
      <c r="L163" s="81">
        <v>218</v>
      </c>
      <c r="M163" s="76">
        <v>62.8</v>
      </c>
      <c r="N163" s="76">
        <v>26.3</v>
      </c>
      <c r="O163" s="445">
        <v>3</v>
      </c>
      <c r="P163" s="83">
        <v>2950</v>
      </c>
      <c r="Q163" s="314" t="s">
        <v>208</v>
      </c>
      <c r="R163" s="314" t="s">
        <v>208</v>
      </c>
      <c r="S163" s="80">
        <v>4.8</v>
      </c>
      <c r="T163" s="244">
        <v>0.85</v>
      </c>
      <c r="U163" s="247">
        <f>ROUND(MAX(E163:F$163),)</f>
        <v>2</v>
      </c>
      <c r="V163" s="275">
        <f t="shared" si="122"/>
        <v>3570</v>
      </c>
    </row>
    <row r="164" spans="1:22" ht="12" customHeight="1" hidden="1">
      <c r="A164" s="370">
        <v>39354</v>
      </c>
      <c r="B164" s="371"/>
      <c r="C164" s="584">
        <v>0</v>
      </c>
      <c r="D164" s="585"/>
      <c r="E164" s="586">
        <f t="shared" si="121"/>
        <v>0</v>
      </c>
      <c r="F164" s="587"/>
      <c r="G164" s="90">
        <v>100</v>
      </c>
      <c r="H164" s="372" t="s">
        <v>213</v>
      </c>
      <c r="I164" s="209"/>
      <c r="J164" s="210"/>
      <c r="K164" s="301"/>
      <c r="L164" s="81"/>
      <c r="M164" s="76"/>
      <c r="N164" s="76"/>
      <c r="O164" s="445"/>
      <c r="P164" s="83"/>
      <c r="Q164" s="314"/>
      <c r="R164" s="314"/>
      <c r="S164" s="80"/>
      <c r="T164" s="244">
        <v>1</v>
      </c>
      <c r="U164" s="247">
        <f>MAX(E164:F168)</f>
        <v>283.8</v>
      </c>
      <c r="V164" s="275">
        <f t="shared" si="122"/>
        <v>506940</v>
      </c>
    </row>
    <row r="165" spans="1:22" ht="12" customHeight="1" hidden="1">
      <c r="A165" s="354">
        <v>39322</v>
      </c>
      <c r="B165" s="355"/>
      <c r="C165" s="584">
        <v>0.473</v>
      </c>
      <c r="D165" s="585"/>
      <c r="E165" s="586">
        <f t="shared" si="121"/>
        <v>283.8</v>
      </c>
      <c r="F165" s="587"/>
      <c r="G165" s="90">
        <v>100</v>
      </c>
      <c r="H165" s="356" t="s">
        <v>212</v>
      </c>
      <c r="I165" s="209"/>
      <c r="J165" s="210"/>
      <c r="K165" s="301"/>
      <c r="L165" s="81"/>
      <c r="M165" s="76"/>
      <c r="N165" s="76"/>
      <c r="O165" s="445"/>
      <c r="P165" s="83"/>
      <c r="Q165" s="314"/>
      <c r="R165" s="314"/>
      <c r="S165" s="80"/>
      <c r="T165" s="244">
        <v>1</v>
      </c>
      <c r="U165" s="247">
        <f>MAX(E165:F168)</f>
        <v>283.8</v>
      </c>
      <c r="V165" s="275">
        <f t="shared" si="122"/>
        <v>506940</v>
      </c>
    </row>
    <row r="166" spans="1:22" ht="12" customHeight="1" hidden="1">
      <c r="A166" s="86">
        <f>EOMONTH(A167,0)+1</f>
        <v>39295</v>
      </c>
      <c r="B166" s="33"/>
      <c r="C166" s="584">
        <v>0.435</v>
      </c>
      <c r="D166" s="585"/>
      <c r="E166" s="586">
        <f t="shared" si="121"/>
        <v>261</v>
      </c>
      <c r="F166" s="587"/>
      <c r="G166" s="90">
        <v>100</v>
      </c>
      <c r="H166" s="301"/>
      <c r="I166" s="209">
        <v>17.1</v>
      </c>
      <c r="J166" s="210">
        <v>0.05</v>
      </c>
      <c r="K166" s="301"/>
      <c r="L166" s="81" t="s">
        <v>211</v>
      </c>
      <c r="M166" s="76" t="s">
        <v>211</v>
      </c>
      <c r="N166" s="76">
        <v>26.2</v>
      </c>
      <c r="O166" s="445" t="s">
        <v>211</v>
      </c>
      <c r="P166" s="83" t="s">
        <v>211</v>
      </c>
      <c r="Q166" s="314" t="s">
        <v>211</v>
      </c>
      <c r="R166" s="314" t="s">
        <v>211</v>
      </c>
      <c r="S166" s="80" t="s">
        <v>211</v>
      </c>
      <c r="T166" s="244">
        <v>1</v>
      </c>
      <c r="U166" s="247">
        <f>MAX(E166:F168)</f>
        <v>261</v>
      </c>
      <c r="V166" s="275">
        <f t="shared" si="122"/>
        <v>465885</v>
      </c>
    </row>
    <row r="167" spans="1:22" ht="12" customHeight="1" hidden="1">
      <c r="A167" s="86">
        <f>EOMONTH(A168,0)+1</f>
        <v>39264</v>
      </c>
      <c r="B167" s="33"/>
      <c r="C167" s="584">
        <v>0.401</v>
      </c>
      <c r="D167" s="585"/>
      <c r="E167" s="586">
        <f t="shared" si="121"/>
        <v>240.60000000000002</v>
      </c>
      <c r="F167" s="587"/>
      <c r="G167" s="90">
        <v>100</v>
      </c>
      <c r="H167" s="301"/>
      <c r="I167" s="209">
        <v>18.2</v>
      </c>
      <c r="J167" s="210">
        <v>0.11</v>
      </c>
      <c r="K167" s="301"/>
      <c r="L167" s="81">
        <v>219</v>
      </c>
      <c r="M167" s="76">
        <v>62.4</v>
      </c>
      <c r="N167" s="76">
        <v>26.3</v>
      </c>
      <c r="O167" s="445">
        <v>3</v>
      </c>
      <c r="P167" s="83">
        <v>0.4</v>
      </c>
      <c r="Q167" s="314" t="s">
        <v>208</v>
      </c>
      <c r="R167" s="314" t="s">
        <v>208</v>
      </c>
      <c r="S167" s="80">
        <v>4.4</v>
      </c>
      <c r="T167" s="244">
        <v>1</v>
      </c>
      <c r="U167" s="247">
        <f>MAX(E167:F168)</f>
        <v>242.7</v>
      </c>
      <c r="V167" s="275">
        <f t="shared" si="122"/>
        <v>433755</v>
      </c>
    </row>
    <row r="168" spans="1:22" ht="12" customHeight="1" hidden="1">
      <c r="A168" s="86">
        <v>39234</v>
      </c>
      <c r="B168" s="33"/>
      <c r="C168" s="612">
        <v>24.27</v>
      </c>
      <c r="D168" s="613"/>
      <c r="E168" s="586">
        <f>IF(C168="","",C168*10)</f>
        <v>242.7</v>
      </c>
      <c r="F168" s="587"/>
      <c r="G168" s="90">
        <v>100</v>
      </c>
      <c r="H168" s="301"/>
      <c r="I168" s="209">
        <v>18</v>
      </c>
      <c r="J168" s="210">
        <v>0.03</v>
      </c>
      <c r="K168" s="301"/>
      <c r="L168" s="81"/>
      <c r="M168" s="76"/>
      <c r="N168" s="76"/>
      <c r="O168" s="445"/>
      <c r="P168" s="83"/>
      <c r="Q168" s="314"/>
      <c r="R168" s="314"/>
      <c r="S168" s="80"/>
      <c r="T168" s="244"/>
      <c r="U168" s="247">
        <f>MAX(E168:F168)</f>
        <v>242.7</v>
      </c>
      <c r="V168" s="275">
        <f>IF(G168="","",ROUND(U168,0)*$V$93*(1+(85-G168)/100))</f>
        <v>433755</v>
      </c>
    </row>
    <row r="169" spans="1:20" ht="6" customHeight="1">
      <c r="A169" s="149"/>
      <c r="B169" s="149"/>
      <c r="C169" s="149"/>
      <c r="D169" s="149"/>
      <c r="E169" s="149"/>
      <c r="F169" s="149"/>
      <c r="G169" s="149"/>
      <c r="H169" s="296"/>
      <c r="I169" s="149"/>
      <c r="J169" s="149"/>
      <c r="K169" s="27"/>
      <c r="L169" s="34"/>
      <c r="M169" s="34"/>
      <c r="N169" s="34"/>
      <c r="O169" s="34"/>
      <c r="P169" s="34"/>
      <c r="Q169" s="34"/>
      <c r="R169" s="34"/>
      <c r="S169" s="34"/>
      <c r="T169" s="34"/>
    </row>
    <row r="170" spans="1:20" ht="15.75" customHeight="1">
      <c r="A170" s="28"/>
      <c r="B170" s="29"/>
      <c r="C170" s="49" t="s">
        <v>196</v>
      </c>
      <c r="D170" s="50"/>
      <c r="E170" s="50"/>
      <c r="F170" s="50"/>
      <c r="G170" s="50"/>
      <c r="H170" s="50"/>
      <c r="I170" s="51"/>
      <c r="J170" s="345" t="s">
        <v>197</v>
      </c>
      <c r="K170" s="346"/>
      <c r="L170" s="347"/>
      <c r="M170" s="2" t="s">
        <v>257</v>
      </c>
      <c r="N170" s="3"/>
      <c r="O170" s="3"/>
      <c r="P170" s="3"/>
      <c r="Q170" s="3"/>
      <c r="R170" s="4"/>
      <c r="S170" s="3"/>
      <c r="T170" s="4"/>
    </row>
    <row r="171" spans="1:20" ht="15.75" customHeight="1">
      <c r="A171" s="22" t="s">
        <v>24</v>
      </c>
      <c r="B171" s="13"/>
      <c r="C171" s="14" t="s">
        <v>36</v>
      </c>
      <c r="D171" s="15"/>
      <c r="E171" s="20"/>
      <c r="F171" s="12" t="s">
        <v>37</v>
      </c>
      <c r="G171" s="15"/>
      <c r="H171" s="20"/>
      <c r="I171" s="8" t="s">
        <v>397</v>
      </c>
      <c r="J171" s="348" t="s">
        <v>209</v>
      </c>
      <c r="K171" s="349"/>
      <c r="L171" s="350"/>
      <c r="M171" s="159" t="s">
        <v>123</v>
      </c>
      <c r="N171" s="208"/>
      <c r="O171" s="7"/>
      <c r="P171" s="6" t="s">
        <v>37</v>
      </c>
      <c r="Q171" s="208"/>
      <c r="R171" s="7"/>
      <c r="S171" s="25" t="s">
        <v>20</v>
      </c>
      <c r="T171" s="8" t="s">
        <v>192</v>
      </c>
    </row>
    <row r="172" spans="1:20" ht="15.75" customHeight="1">
      <c r="A172" s="30"/>
      <c r="B172" s="31"/>
      <c r="C172" s="24" t="s">
        <v>39</v>
      </c>
      <c r="D172" s="9" t="s">
        <v>40</v>
      </c>
      <c r="E172" s="9" t="s">
        <v>41</v>
      </c>
      <c r="F172" s="9" t="s">
        <v>42</v>
      </c>
      <c r="G172" s="9" t="s">
        <v>43</v>
      </c>
      <c r="H172" s="9" t="s">
        <v>44</v>
      </c>
      <c r="I172" s="69" t="s">
        <v>398</v>
      </c>
      <c r="J172" s="351" t="s">
        <v>42</v>
      </c>
      <c r="K172" s="352" t="s">
        <v>43</v>
      </c>
      <c r="L172" s="353" t="s">
        <v>44</v>
      </c>
      <c r="M172" s="330" t="s">
        <v>228</v>
      </c>
      <c r="N172" s="331" t="s">
        <v>229</v>
      </c>
      <c r="O172" s="332" t="s">
        <v>225</v>
      </c>
      <c r="P172" s="331" t="s">
        <v>226</v>
      </c>
      <c r="Q172" s="331" t="s">
        <v>227</v>
      </c>
      <c r="R172" s="379" t="s">
        <v>148</v>
      </c>
      <c r="S172" s="325" t="s">
        <v>46</v>
      </c>
      <c r="T172" s="322" t="s">
        <v>193</v>
      </c>
    </row>
    <row r="173" spans="1:20" ht="12" customHeight="1">
      <c r="A173" s="86">
        <f>EOMONTH(A174,0)+1</f>
        <v>41426</v>
      </c>
      <c r="B173" s="33"/>
      <c r="C173" s="78"/>
      <c r="D173" s="79"/>
      <c r="E173" s="79"/>
      <c r="F173" s="80"/>
      <c r="G173" s="80"/>
      <c r="H173" s="80"/>
      <c r="I173" s="259"/>
      <c r="J173" s="316"/>
      <c r="K173" s="317"/>
      <c r="L173" s="318"/>
      <c r="M173" s="81"/>
      <c r="N173" s="215"/>
      <c r="O173" s="158"/>
      <c r="P173" s="215"/>
      <c r="Q173" s="215"/>
      <c r="R173" s="215"/>
      <c r="S173" s="215"/>
      <c r="T173" s="404"/>
    </row>
    <row r="174" spans="1:20" ht="12" customHeight="1">
      <c r="A174" s="86">
        <f>EOMONTH(A175,0)+1</f>
        <v>41395</v>
      </c>
      <c r="B174" s="33"/>
      <c r="C174" s="78">
        <v>6.65</v>
      </c>
      <c r="D174" s="79">
        <v>6.7</v>
      </c>
      <c r="E174" s="79">
        <v>6.72</v>
      </c>
      <c r="F174" s="80">
        <v>14.4</v>
      </c>
      <c r="G174" s="80">
        <v>14.5</v>
      </c>
      <c r="H174" s="80">
        <v>8.1</v>
      </c>
      <c r="I174" s="259">
        <v>95</v>
      </c>
      <c r="J174" s="316">
        <v>2.4</v>
      </c>
      <c r="K174" s="317">
        <v>3.32</v>
      </c>
      <c r="L174" s="318">
        <v>2.94</v>
      </c>
      <c r="M174" s="81">
        <v>108</v>
      </c>
      <c r="N174" s="215">
        <v>108</v>
      </c>
      <c r="O174" s="158">
        <v>209</v>
      </c>
      <c r="P174" s="215">
        <v>197</v>
      </c>
      <c r="Q174" s="215">
        <v>156</v>
      </c>
      <c r="R174" s="215">
        <v>40</v>
      </c>
      <c r="S174" s="215">
        <v>25</v>
      </c>
      <c r="T174" s="404">
        <v>7.39</v>
      </c>
    </row>
    <row r="175" spans="1:20" ht="12" customHeight="1">
      <c r="A175" s="86">
        <f>EOMONTH(A176,0)+1</f>
        <v>41365</v>
      </c>
      <c r="B175" s="33"/>
      <c r="C175" s="78">
        <v>6.55</v>
      </c>
      <c r="D175" s="79">
        <v>6.6</v>
      </c>
      <c r="E175" s="79">
        <v>6.6</v>
      </c>
      <c r="F175" s="80">
        <v>14.1</v>
      </c>
      <c r="G175" s="80">
        <v>14.1</v>
      </c>
      <c r="H175" s="80">
        <v>7.8</v>
      </c>
      <c r="I175" s="259">
        <v>95</v>
      </c>
      <c r="J175" s="316">
        <v>2.7</v>
      </c>
      <c r="K175" s="317">
        <v>3.31</v>
      </c>
      <c r="L175" s="318">
        <v>2.91</v>
      </c>
      <c r="M175" s="81">
        <v>107</v>
      </c>
      <c r="N175" s="215">
        <v>107</v>
      </c>
      <c r="O175" s="158">
        <v>207</v>
      </c>
      <c r="P175" s="215">
        <v>171</v>
      </c>
      <c r="Q175" s="215">
        <v>144</v>
      </c>
      <c r="R175" s="215">
        <v>28</v>
      </c>
      <c r="S175" s="215">
        <v>23</v>
      </c>
      <c r="T175" s="404">
        <v>6.47</v>
      </c>
    </row>
    <row r="176" spans="1:20" ht="12" customHeight="1">
      <c r="A176" s="86">
        <f>EOMONTH(A177,0)+1</f>
        <v>41334</v>
      </c>
      <c r="B176" s="33"/>
      <c r="C176" s="78">
        <v>6.58</v>
      </c>
      <c r="D176" s="79">
        <v>6.65</v>
      </c>
      <c r="E176" s="79">
        <v>6.6</v>
      </c>
      <c r="F176" s="80">
        <v>14</v>
      </c>
      <c r="G176" s="80">
        <v>13.6</v>
      </c>
      <c r="H176" s="80">
        <v>8</v>
      </c>
      <c r="I176" s="259">
        <v>95</v>
      </c>
      <c r="J176" s="316">
        <v>2.58</v>
      </c>
      <c r="K176" s="317">
        <v>3.41</v>
      </c>
      <c r="L176" s="318">
        <v>3.1</v>
      </c>
      <c r="M176" s="81">
        <v>108</v>
      </c>
      <c r="N176" s="215">
        <v>108</v>
      </c>
      <c r="O176" s="158">
        <v>208</v>
      </c>
      <c r="P176" s="215">
        <v>197</v>
      </c>
      <c r="Q176" s="215">
        <v>143</v>
      </c>
      <c r="R176" s="215">
        <v>43</v>
      </c>
      <c r="S176" s="215">
        <v>23</v>
      </c>
      <c r="T176" s="404">
        <v>6.08</v>
      </c>
    </row>
    <row r="177" spans="1:20" ht="12" customHeight="1">
      <c r="A177" s="86">
        <f>EOMONTH(A178,0)+1</f>
        <v>41306</v>
      </c>
      <c r="B177" s="33"/>
      <c r="C177" s="78">
        <v>6.55</v>
      </c>
      <c r="D177" s="79">
        <v>6.65</v>
      </c>
      <c r="E177" s="79">
        <v>6.65</v>
      </c>
      <c r="F177" s="80">
        <v>14.5</v>
      </c>
      <c r="G177" s="80">
        <v>15.5</v>
      </c>
      <c r="H177" s="80">
        <v>9</v>
      </c>
      <c r="I177" s="259">
        <v>95</v>
      </c>
      <c r="J177" s="316">
        <v>2.55</v>
      </c>
      <c r="K177" s="317">
        <v>3.31</v>
      </c>
      <c r="L177" s="318">
        <v>2.78</v>
      </c>
      <c r="M177" s="81">
        <v>107</v>
      </c>
      <c r="N177" s="215">
        <v>107</v>
      </c>
      <c r="O177" s="158">
        <v>208</v>
      </c>
      <c r="P177" s="215">
        <v>208</v>
      </c>
      <c r="Q177" s="215">
        <v>149</v>
      </c>
      <c r="R177" s="215">
        <v>58</v>
      </c>
      <c r="S177" s="215">
        <v>12</v>
      </c>
      <c r="T177" s="404">
        <v>8.32</v>
      </c>
    </row>
    <row r="178" spans="1:20" ht="12" customHeight="1">
      <c r="A178" s="86">
        <f>EOMONTH(A179,0)+1</f>
        <v>41275</v>
      </c>
      <c r="B178" s="33"/>
      <c r="C178" s="78">
        <v>6.7</v>
      </c>
      <c r="D178" s="79">
        <v>6.73</v>
      </c>
      <c r="E178" s="79">
        <v>6.7</v>
      </c>
      <c r="F178" s="80">
        <v>14.3</v>
      </c>
      <c r="G178" s="80">
        <v>14.5</v>
      </c>
      <c r="H178" s="80">
        <v>8.3</v>
      </c>
      <c r="I178" s="259">
        <v>95</v>
      </c>
      <c r="J178" s="316">
        <v>2.46</v>
      </c>
      <c r="K178" s="317">
        <v>3.18</v>
      </c>
      <c r="L178" s="318">
        <v>2.83</v>
      </c>
      <c r="M178" s="81">
        <v>108</v>
      </c>
      <c r="N178" s="215">
        <v>108</v>
      </c>
      <c r="O178" s="158">
        <v>210</v>
      </c>
      <c r="P178" s="215">
        <v>197</v>
      </c>
      <c r="Q178" s="215">
        <v>148</v>
      </c>
      <c r="R178" s="215">
        <v>51</v>
      </c>
      <c r="S178" s="215">
        <v>12</v>
      </c>
      <c r="T178" s="404">
        <v>9.66</v>
      </c>
    </row>
    <row r="179" spans="1:20" ht="12" customHeight="1">
      <c r="A179" s="86">
        <f>EOMONTH(A180,0)+1</f>
        <v>41244</v>
      </c>
      <c r="B179" s="33"/>
      <c r="C179" s="78">
        <v>6.62</v>
      </c>
      <c r="D179" s="79">
        <v>6.74</v>
      </c>
      <c r="E179" s="79">
        <v>6.72</v>
      </c>
      <c r="F179" s="80">
        <v>15.8</v>
      </c>
      <c r="G179" s="80">
        <v>17.6</v>
      </c>
      <c r="H179" s="80">
        <v>10.6</v>
      </c>
      <c r="I179" s="259">
        <v>95</v>
      </c>
      <c r="J179" s="316">
        <v>2.54</v>
      </c>
      <c r="K179" s="317">
        <v>3.31</v>
      </c>
      <c r="L179" s="318">
        <v>2.82</v>
      </c>
      <c r="M179" s="81">
        <v>108</v>
      </c>
      <c r="N179" s="215">
        <v>108</v>
      </c>
      <c r="O179" s="158">
        <v>210</v>
      </c>
      <c r="P179" s="215">
        <v>198</v>
      </c>
      <c r="Q179" s="215">
        <v>152</v>
      </c>
      <c r="R179" s="215">
        <v>46</v>
      </c>
      <c r="S179" s="215">
        <v>14</v>
      </c>
      <c r="T179" s="404">
        <v>8.63</v>
      </c>
    </row>
    <row r="180" spans="1:20" ht="12" customHeight="1">
      <c r="A180" s="86">
        <f>EOMONTH(A181,0)+1</f>
        <v>41214</v>
      </c>
      <c r="B180" s="33"/>
      <c r="C180" s="78">
        <v>6.65</v>
      </c>
      <c r="D180" s="79">
        <v>6.7</v>
      </c>
      <c r="E180" s="79">
        <v>6.7</v>
      </c>
      <c r="F180" s="80">
        <v>14</v>
      </c>
      <c r="G180" s="80">
        <v>14</v>
      </c>
      <c r="H180" s="80">
        <v>7.9</v>
      </c>
      <c r="I180" s="259">
        <v>95</v>
      </c>
      <c r="J180" s="316">
        <v>2.49</v>
      </c>
      <c r="K180" s="317">
        <v>3.29</v>
      </c>
      <c r="L180" s="318">
        <v>2.92</v>
      </c>
      <c r="M180" s="81">
        <v>108</v>
      </c>
      <c r="N180" s="215">
        <v>108</v>
      </c>
      <c r="O180" s="158">
        <v>208</v>
      </c>
      <c r="P180" s="215">
        <v>173</v>
      </c>
      <c r="Q180" s="215">
        <v>149</v>
      </c>
      <c r="R180" s="215">
        <v>34</v>
      </c>
      <c r="S180" s="215">
        <v>25</v>
      </c>
      <c r="T180" s="404">
        <v>8.83</v>
      </c>
    </row>
    <row r="181" spans="1:20" ht="12" customHeight="1">
      <c r="A181" s="86">
        <f>EOMONTH(A182,0)+1</f>
        <v>41183</v>
      </c>
      <c r="B181" s="33"/>
      <c r="C181" s="78">
        <v>6.55</v>
      </c>
      <c r="D181" s="79">
        <v>6.6</v>
      </c>
      <c r="E181" s="79">
        <v>6.6</v>
      </c>
      <c r="F181" s="80">
        <v>13.2</v>
      </c>
      <c r="G181" s="80">
        <v>13</v>
      </c>
      <c r="H181" s="80">
        <v>8</v>
      </c>
      <c r="I181" s="259">
        <v>95</v>
      </c>
      <c r="J181" s="316">
        <v>2.58</v>
      </c>
      <c r="K181" s="317">
        <v>3.43</v>
      </c>
      <c r="L181" s="318">
        <v>3.02</v>
      </c>
      <c r="M181" s="81">
        <v>108</v>
      </c>
      <c r="N181" s="215">
        <v>107</v>
      </c>
      <c r="O181" s="158">
        <v>207</v>
      </c>
      <c r="P181" s="215">
        <v>161</v>
      </c>
      <c r="Q181" s="215">
        <v>140</v>
      </c>
      <c r="R181" s="215">
        <v>21</v>
      </c>
      <c r="S181" s="215">
        <v>33</v>
      </c>
      <c r="T181" s="404">
        <v>5.95</v>
      </c>
    </row>
    <row r="182" spans="1:20" ht="12" customHeight="1">
      <c r="A182" s="86">
        <f>EOMONTH(A183,0)+1</f>
        <v>41153</v>
      </c>
      <c r="B182" s="33"/>
      <c r="C182" s="78">
        <v>6.6</v>
      </c>
      <c r="D182" s="79">
        <v>6.65</v>
      </c>
      <c r="E182" s="79">
        <v>6.68</v>
      </c>
      <c r="F182" s="80">
        <v>16</v>
      </c>
      <c r="G182" s="80">
        <v>17</v>
      </c>
      <c r="H182" s="80">
        <v>11</v>
      </c>
      <c r="I182" s="259">
        <v>95</v>
      </c>
      <c r="J182" s="316">
        <v>2.67</v>
      </c>
      <c r="K182" s="317">
        <v>3.52</v>
      </c>
      <c r="L182" s="318">
        <v>3.34</v>
      </c>
      <c r="M182" s="81">
        <v>108</v>
      </c>
      <c r="N182" s="215">
        <v>108</v>
      </c>
      <c r="O182" s="158">
        <v>209</v>
      </c>
      <c r="P182" s="215">
        <v>175</v>
      </c>
      <c r="Q182" s="215">
        <v>166</v>
      </c>
      <c r="R182" s="215">
        <v>16</v>
      </c>
      <c r="S182" s="215">
        <v>36</v>
      </c>
      <c r="T182" s="404">
        <v>7.11</v>
      </c>
    </row>
    <row r="183" spans="1:20" ht="12" customHeight="1">
      <c r="A183" s="86">
        <f>EOMONTH(A184,0)+1</f>
        <v>41122</v>
      </c>
      <c r="B183" s="33"/>
      <c r="C183" s="78">
        <v>6.5</v>
      </c>
      <c r="D183" s="79">
        <v>6.65</v>
      </c>
      <c r="E183" s="79">
        <v>6.65</v>
      </c>
      <c r="F183" s="80">
        <v>15.1</v>
      </c>
      <c r="G183" s="80">
        <v>15</v>
      </c>
      <c r="H183" s="80">
        <v>9.6</v>
      </c>
      <c r="I183" s="259">
        <v>95</v>
      </c>
      <c r="J183" s="316">
        <v>2.59</v>
      </c>
      <c r="K183" s="317">
        <v>3.54</v>
      </c>
      <c r="L183" s="318">
        <v>3.17</v>
      </c>
      <c r="M183" s="81">
        <v>108</v>
      </c>
      <c r="N183" s="215">
        <v>108</v>
      </c>
      <c r="O183" s="158">
        <v>208</v>
      </c>
      <c r="P183" s="215">
        <v>160</v>
      </c>
      <c r="Q183" s="215">
        <v>155</v>
      </c>
      <c r="R183" s="215">
        <v>14</v>
      </c>
      <c r="S183" s="215">
        <v>42</v>
      </c>
      <c r="T183" s="404">
        <v>5.91</v>
      </c>
    </row>
    <row r="184" spans="1:20" ht="12" customHeight="1">
      <c r="A184" s="86">
        <f>EOMONTH(A185,0)+1</f>
        <v>41091</v>
      </c>
      <c r="B184" s="33"/>
      <c r="C184" s="78">
        <v>6.5</v>
      </c>
      <c r="D184" s="79">
        <v>6.58</v>
      </c>
      <c r="E184" s="79">
        <v>6.55</v>
      </c>
      <c r="F184" s="80">
        <v>17.3</v>
      </c>
      <c r="G184" s="80">
        <v>18.2</v>
      </c>
      <c r="H184" s="80">
        <v>11.8</v>
      </c>
      <c r="I184" s="259">
        <v>95</v>
      </c>
      <c r="J184" s="316">
        <v>2.58</v>
      </c>
      <c r="K184" s="317">
        <v>3.53</v>
      </c>
      <c r="L184" s="318">
        <v>3.32</v>
      </c>
      <c r="M184" s="81">
        <v>107</v>
      </c>
      <c r="N184" s="215">
        <v>107</v>
      </c>
      <c r="O184" s="158">
        <v>207</v>
      </c>
      <c r="P184" s="215">
        <v>162</v>
      </c>
      <c r="Q184" s="215">
        <v>155</v>
      </c>
      <c r="R184" s="215">
        <v>11</v>
      </c>
      <c r="S184" s="215">
        <v>39</v>
      </c>
      <c r="T184" s="404">
        <v>6.47</v>
      </c>
    </row>
    <row r="185" spans="1:20" ht="12" customHeight="1">
      <c r="A185" s="86">
        <f>EOMONTH(A186,0)+1</f>
        <v>41061</v>
      </c>
      <c r="B185" s="33"/>
      <c r="C185" s="78">
        <v>6.55</v>
      </c>
      <c r="D185" s="79">
        <v>6.65</v>
      </c>
      <c r="E185" s="79">
        <v>6.7</v>
      </c>
      <c r="F185" s="80">
        <v>13.5</v>
      </c>
      <c r="G185" s="80">
        <v>13</v>
      </c>
      <c r="H185" s="80">
        <v>8</v>
      </c>
      <c r="I185" s="259">
        <v>100</v>
      </c>
      <c r="J185" s="316">
        <v>2.58</v>
      </c>
      <c r="K185" s="317">
        <v>3.44</v>
      </c>
      <c r="L185" s="318">
        <v>3.04</v>
      </c>
      <c r="M185" s="81">
        <v>108</v>
      </c>
      <c r="N185" s="215">
        <v>108</v>
      </c>
      <c r="O185" s="158">
        <v>208</v>
      </c>
      <c r="P185" s="215">
        <v>155</v>
      </c>
      <c r="Q185" s="215">
        <v>139</v>
      </c>
      <c r="R185" s="215">
        <v>16</v>
      </c>
      <c r="S185" s="215">
        <v>34</v>
      </c>
      <c r="T185" s="404">
        <v>6.72</v>
      </c>
    </row>
    <row r="186" spans="1:20" ht="12" customHeight="1" hidden="1">
      <c r="A186" s="86">
        <f>EOMONTH(A187,0)+1</f>
        <v>41030</v>
      </c>
      <c r="B186" s="33"/>
      <c r="C186" s="78">
        <v>6.58</v>
      </c>
      <c r="D186" s="79">
        <v>6.68</v>
      </c>
      <c r="E186" s="79">
        <v>6.6</v>
      </c>
      <c r="F186" s="80">
        <v>14.9</v>
      </c>
      <c r="G186" s="80">
        <v>14.8</v>
      </c>
      <c r="H186" s="80">
        <v>9.2</v>
      </c>
      <c r="I186" s="259"/>
      <c r="J186" s="316">
        <v>2.57</v>
      </c>
      <c r="K186" s="317">
        <v>3.64</v>
      </c>
      <c r="L186" s="318">
        <v>3.25</v>
      </c>
      <c r="M186" s="81">
        <v>108</v>
      </c>
      <c r="N186" s="215">
        <v>108</v>
      </c>
      <c r="O186" s="158">
        <v>209</v>
      </c>
      <c r="P186" s="215">
        <v>196</v>
      </c>
      <c r="Q186" s="215">
        <v>185</v>
      </c>
      <c r="R186" s="215">
        <v>36</v>
      </c>
      <c r="S186" s="215">
        <v>32</v>
      </c>
      <c r="T186" s="404">
        <v>4.63</v>
      </c>
    </row>
    <row r="187" spans="1:20" ht="12" customHeight="1" hidden="1">
      <c r="A187" s="86">
        <f>EOMONTH(A188,0)+1</f>
        <v>41000</v>
      </c>
      <c r="B187" s="33"/>
      <c r="C187" s="78">
        <v>6.55</v>
      </c>
      <c r="D187" s="79">
        <v>6.7</v>
      </c>
      <c r="E187" s="79">
        <v>6.65</v>
      </c>
      <c r="F187" s="80">
        <v>14.5</v>
      </c>
      <c r="G187" s="80">
        <v>14.1</v>
      </c>
      <c r="H187" s="80">
        <v>8</v>
      </c>
      <c r="I187" s="259"/>
      <c r="J187" s="316">
        <v>2.69</v>
      </c>
      <c r="K187" s="317">
        <v>3.28</v>
      </c>
      <c r="L187" s="318">
        <v>3.18</v>
      </c>
      <c r="M187" s="81">
        <v>107</v>
      </c>
      <c r="N187" s="215">
        <v>106</v>
      </c>
      <c r="O187" s="158">
        <v>207</v>
      </c>
      <c r="P187" s="215">
        <v>180</v>
      </c>
      <c r="Q187" s="215">
        <v>159</v>
      </c>
      <c r="R187" s="215">
        <v>22</v>
      </c>
      <c r="S187" s="215">
        <v>22</v>
      </c>
      <c r="T187" s="404">
        <v>5.45</v>
      </c>
    </row>
    <row r="188" spans="1:20" ht="12" customHeight="1" hidden="1">
      <c r="A188" s="86">
        <f>EOMONTH(A189,0)+1</f>
        <v>40969</v>
      </c>
      <c r="B188" s="33"/>
      <c r="C188" s="78">
        <v>6.65</v>
      </c>
      <c r="D188" s="79">
        <v>6.7</v>
      </c>
      <c r="E188" s="79">
        <v>6.7</v>
      </c>
      <c r="F188" s="80">
        <v>14.6</v>
      </c>
      <c r="G188" s="80">
        <v>13.6</v>
      </c>
      <c r="H188" s="80">
        <v>7.7</v>
      </c>
      <c r="I188" s="259"/>
      <c r="J188" s="316">
        <v>2.66</v>
      </c>
      <c r="K188" s="317">
        <v>3.24</v>
      </c>
      <c r="L188" s="318">
        <v>3.04</v>
      </c>
      <c r="M188" s="81">
        <v>108</v>
      </c>
      <c r="N188" s="215">
        <v>107</v>
      </c>
      <c r="O188" s="158">
        <v>208</v>
      </c>
      <c r="P188" s="215">
        <v>164</v>
      </c>
      <c r="Q188" s="215">
        <v>147</v>
      </c>
      <c r="R188" s="215">
        <v>17</v>
      </c>
      <c r="S188" s="215">
        <v>20</v>
      </c>
      <c r="T188" s="404">
        <v>5.65</v>
      </c>
    </row>
    <row r="189" spans="1:20" ht="12" customHeight="1" hidden="1">
      <c r="A189" s="86">
        <f>EOMONTH(A190,0)+1</f>
        <v>40940</v>
      </c>
      <c r="B189" s="33"/>
      <c r="C189" s="78">
        <v>6.7</v>
      </c>
      <c r="D189" s="79">
        <v>6.72</v>
      </c>
      <c r="E189" s="79">
        <v>6.72</v>
      </c>
      <c r="F189" s="80">
        <v>17.7</v>
      </c>
      <c r="G189" s="80">
        <v>19.2</v>
      </c>
      <c r="H189" s="80">
        <v>12.3</v>
      </c>
      <c r="I189" s="259"/>
      <c r="J189" s="316">
        <v>2.69</v>
      </c>
      <c r="K189" s="317">
        <v>3.46</v>
      </c>
      <c r="L189" s="318">
        <v>3.33</v>
      </c>
      <c r="M189" s="81">
        <v>109</v>
      </c>
      <c r="N189" s="215">
        <v>108</v>
      </c>
      <c r="O189" s="158">
        <v>210</v>
      </c>
      <c r="P189" s="215">
        <v>193</v>
      </c>
      <c r="Q189" s="215">
        <v>152</v>
      </c>
      <c r="R189" s="215">
        <v>38</v>
      </c>
      <c r="S189" s="215">
        <v>15</v>
      </c>
      <c r="T189" s="404">
        <v>6.62</v>
      </c>
    </row>
    <row r="190" spans="1:20" ht="12" customHeight="1" hidden="1">
      <c r="A190" s="86">
        <f>EOMONTH(A191,0)+1</f>
        <v>40909</v>
      </c>
      <c r="B190" s="33"/>
      <c r="C190" s="78">
        <v>6.55</v>
      </c>
      <c r="D190" s="79">
        <v>6.62</v>
      </c>
      <c r="E190" s="79">
        <v>6.6</v>
      </c>
      <c r="F190" s="80">
        <v>16.4</v>
      </c>
      <c r="G190" s="80">
        <v>17.3</v>
      </c>
      <c r="H190" s="80">
        <v>10.3</v>
      </c>
      <c r="I190" s="259"/>
      <c r="J190" s="316">
        <v>2.51</v>
      </c>
      <c r="K190" s="317">
        <v>3.15</v>
      </c>
      <c r="L190" s="318">
        <v>3.17</v>
      </c>
      <c r="M190" s="81">
        <v>106</v>
      </c>
      <c r="N190" s="215">
        <v>106</v>
      </c>
      <c r="O190" s="158">
        <v>207</v>
      </c>
      <c r="P190" s="215">
        <v>171</v>
      </c>
      <c r="Q190" s="215">
        <v>155</v>
      </c>
      <c r="R190" s="215">
        <v>16</v>
      </c>
      <c r="S190" s="215">
        <v>12</v>
      </c>
      <c r="T190" s="404">
        <v>5.21</v>
      </c>
    </row>
    <row r="191" spans="1:20" ht="12" customHeight="1" hidden="1">
      <c r="A191" s="86">
        <f>EOMONTH(A192,0)+1</f>
        <v>40878</v>
      </c>
      <c r="B191" s="33"/>
      <c r="C191" s="78">
        <v>6.7</v>
      </c>
      <c r="D191" s="79">
        <v>6.72</v>
      </c>
      <c r="E191" s="79">
        <v>6.72</v>
      </c>
      <c r="F191" s="80">
        <v>18</v>
      </c>
      <c r="G191" s="80">
        <v>18.5</v>
      </c>
      <c r="H191" s="80">
        <v>11.2</v>
      </c>
      <c r="I191" s="259"/>
      <c r="J191" s="316">
        <v>2.57</v>
      </c>
      <c r="K191" s="317">
        <v>3.48</v>
      </c>
      <c r="L191" s="318">
        <v>3.35</v>
      </c>
      <c r="M191" s="81">
        <v>108</v>
      </c>
      <c r="N191" s="215">
        <v>108</v>
      </c>
      <c r="O191" s="158">
        <v>210</v>
      </c>
      <c r="P191" s="215">
        <v>177</v>
      </c>
      <c r="Q191" s="215">
        <v>137</v>
      </c>
      <c r="R191" s="215">
        <v>38</v>
      </c>
      <c r="S191" s="215">
        <v>18</v>
      </c>
      <c r="T191" s="404">
        <v>5.35</v>
      </c>
    </row>
    <row r="192" spans="1:20" ht="12" customHeight="1" hidden="1">
      <c r="A192" s="86">
        <f>EOMONTH(A193,0)+1</f>
        <v>40848</v>
      </c>
      <c r="B192" s="33"/>
      <c r="C192" s="78">
        <v>6.7</v>
      </c>
      <c r="D192" s="79">
        <v>6.72</v>
      </c>
      <c r="E192" s="79">
        <v>6.72</v>
      </c>
      <c r="F192" s="80">
        <v>15</v>
      </c>
      <c r="G192" s="80">
        <v>15</v>
      </c>
      <c r="H192" s="80">
        <v>8</v>
      </c>
      <c r="I192" s="259"/>
      <c r="J192" s="316">
        <v>2.6</v>
      </c>
      <c r="K192" s="317">
        <v>3.5</v>
      </c>
      <c r="L192" s="318">
        <v>3.17</v>
      </c>
      <c r="M192" s="81">
        <v>108</v>
      </c>
      <c r="N192" s="215">
        <v>108</v>
      </c>
      <c r="O192" s="158">
        <v>210</v>
      </c>
      <c r="P192" s="215">
        <v>186</v>
      </c>
      <c r="Q192" s="215">
        <v>165</v>
      </c>
      <c r="R192" s="215">
        <v>22</v>
      </c>
      <c r="S192" s="215">
        <v>27</v>
      </c>
      <c r="T192" s="404">
        <v>7.81</v>
      </c>
    </row>
    <row r="193" spans="1:20" ht="12" customHeight="1" hidden="1">
      <c r="A193" s="86">
        <f>EOMONTH(A194,0)+1</f>
        <v>40817</v>
      </c>
      <c r="B193" s="33"/>
      <c r="C193" s="78">
        <v>6.65</v>
      </c>
      <c r="D193" s="79">
        <v>6.7</v>
      </c>
      <c r="E193" s="79">
        <v>6.7</v>
      </c>
      <c r="F193" s="80">
        <v>15.5</v>
      </c>
      <c r="G193" s="80">
        <v>14.7</v>
      </c>
      <c r="H193" s="80">
        <v>8.2</v>
      </c>
      <c r="I193" s="259"/>
      <c r="J193" s="316">
        <v>2.61</v>
      </c>
      <c r="K193" s="317">
        <v>3.25</v>
      </c>
      <c r="L193" s="318">
        <v>3</v>
      </c>
      <c r="M193" s="81">
        <v>108</v>
      </c>
      <c r="N193" s="215">
        <v>108</v>
      </c>
      <c r="O193" s="158">
        <v>208</v>
      </c>
      <c r="P193" s="215">
        <v>181</v>
      </c>
      <c r="Q193" s="215">
        <v>165</v>
      </c>
      <c r="R193" s="215">
        <v>15</v>
      </c>
      <c r="S193" s="215">
        <v>27</v>
      </c>
      <c r="T193" s="404">
        <v>7.33</v>
      </c>
    </row>
    <row r="194" spans="1:20" ht="12" customHeight="1" hidden="1">
      <c r="A194" s="86">
        <f>EOMONTH(A195,0)+1</f>
        <v>40787</v>
      </c>
      <c r="B194" s="33"/>
      <c r="C194" s="78">
        <v>6.5</v>
      </c>
      <c r="D194" s="79">
        <v>6.5</v>
      </c>
      <c r="E194" s="79">
        <v>6.58</v>
      </c>
      <c r="F194" s="80">
        <v>18.3</v>
      </c>
      <c r="G194" s="80">
        <v>19.1</v>
      </c>
      <c r="H194" s="80">
        <v>11.6</v>
      </c>
      <c r="I194" s="259"/>
      <c r="J194" s="316">
        <v>2.6</v>
      </c>
      <c r="K194" s="317">
        <v>3.46</v>
      </c>
      <c r="L194" s="318">
        <v>3.34</v>
      </c>
      <c r="M194" s="81">
        <v>106</v>
      </c>
      <c r="N194" s="215">
        <v>106</v>
      </c>
      <c r="O194" s="158">
        <v>206</v>
      </c>
      <c r="P194" s="215">
        <v>200</v>
      </c>
      <c r="Q194" s="215">
        <v>170</v>
      </c>
      <c r="R194" s="215">
        <v>30</v>
      </c>
      <c r="S194" s="215">
        <v>43</v>
      </c>
      <c r="T194" s="404">
        <v>7.24</v>
      </c>
    </row>
    <row r="195" spans="1:20" ht="12" customHeight="1" hidden="1">
      <c r="A195" s="86">
        <f>EOMONTH(A196,0)+1</f>
        <v>40756</v>
      </c>
      <c r="B195" s="33"/>
      <c r="C195" s="78">
        <v>6.42</v>
      </c>
      <c r="D195" s="79">
        <v>6.5</v>
      </c>
      <c r="E195" s="79">
        <v>6.5</v>
      </c>
      <c r="F195" s="80">
        <v>21.8</v>
      </c>
      <c r="G195" s="80">
        <v>23.5</v>
      </c>
      <c r="H195" s="80">
        <v>15.5</v>
      </c>
      <c r="I195" s="259"/>
      <c r="J195" s="316">
        <v>2.55</v>
      </c>
      <c r="K195" s="317">
        <v>3.09</v>
      </c>
      <c r="L195" s="318">
        <v>2.84</v>
      </c>
      <c r="M195" s="81">
        <v>105</v>
      </c>
      <c r="N195" s="215">
        <v>105</v>
      </c>
      <c r="O195" s="158">
        <v>203</v>
      </c>
      <c r="P195" s="215">
        <v>190</v>
      </c>
      <c r="Q195" s="215">
        <v>180</v>
      </c>
      <c r="R195" s="215">
        <v>11</v>
      </c>
      <c r="S195" s="215">
        <v>46</v>
      </c>
      <c r="T195" s="404">
        <v>6.84</v>
      </c>
    </row>
    <row r="196" spans="1:20" ht="12" customHeight="1" hidden="1">
      <c r="A196" s="86">
        <f>EOMONTH(A197,0)+1</f>
        <v>40725</v>
      </c>
      <c r="B196" s="33"/>
      <c r="C196" s="78">
        <v>6.5</v>
      </c>
      <c r="D196" s="79">
        <v>6.55</v>
      </c>
      <c r="E196" s="79">
        <v>6.58</v>
      </c>
      <c r="F196" s="80">
        <v>18.9</v>
      </c>
      <c r="G196" s="80">
        <v>19.9</v>
      </c>
      <c r="H196" s="80">
        <v>12.2</v>
      </c>
      <c r="I196" s="259"/>
      <c r="J196" s="316">
        <v>2.43</v>
      </c>
      <c r="K196" s="317">
        <v>3.55</v>
      </c>
      <c r="L196" s="318">
        <v>3.65</v>
      </c>
      <c r="M196" s="81">
        <v>107</v>
      </c>
      <c r="N196" s="215">
        <v>107</v>
      </c>
      <c r="O196" s="158">
        <v>207</v>
      </c>
      <c r="P196" s="215">
        <v>193</v>
      </c>
      <c r="Q196" s="215">
        <v>180</v>
      </c>
      <c r="R196" s="215">
        <v>17</v>
      </c>
      <c r="S196" s="215">
        <v>37</v>
      </c>
      <c r="T196" s="404">
        <v>7.44</v>
      </c>
    </row>
    <row r="197" spans="1:20" ht="12" customHeight="1" hidden="1">
      <c r="A197" s="86">
        <f>EOMONTH(A198,0)+1</f>
        <v>40695</v>
      </c>
      <c r="B197" s="33"/>
      <c r="C197" s="78">
        <v>6.52</v>
      </c>
      <c r="D197" s="79">
        <v>6.6</v>
      </c>
      <c r="E197" s="79">
        <v>6.65</v>
      </c>
      <c r="F197" s="80">
        <v>19.8</v>
      </c>
      <c r="G197" s="80">
        <v>21.1</v>
      </c>
      <c r="H197" s="80">
        <v>12.6</v>
      </c>
      <c r="I197" s="259"/>
      <c r="J197" s="316">
        <v>2.58</v>
      </c>
      <c r="K197" s="317">
        <v>3.67</v>
      </c>
      <c r="L197" s="318">
        <v>6.75</v>
      </c>
      <c r="M197" s="81">
        <v>107</v>
      </c>
      <c r="N197" s="215">
        <v>106</v>
      </c>
      <c r="O197" s="158">
        <v>207</v>
      </c>
      <c r="P197" s="215">
        <v>195</v>
      </c>
      <c r="Q197" s="215">
        <v>179</v>
      </c>
      <c r="R197" s="215">
        <v>16</v>
      </c>
      <c r="S197" s="215">
        <v>33</v>
      </c>
      <c r="T197" s="404">
        <v>7.3</v>
      </c>
    </row>
    <row r="198" spans="1:20" ht="12" customHeight="1" hidden="1">
      <c r="A198" s="86">
        <f>EOMONTH(A199,0)+1</f>
        <v>40664</v>
      </c>
      <c r="B198" s="33"/>
      <c r="C198" s="78">
        <v>6.65</v>
      </c>
      <c r="D198" s="79">
        <v>6.7</v>
      </c>
      <c r="E198" s="79">
        <v>6.7</v>
      </c>
      <c r="F198" s="80">
        <v>16</v>
      </c>
      <c r="G198" s="80">
        <v>15</v>
      </c>
      <c r="H198" s="80">
        <v>8.2</v>
      </c>
      <c r="I198" s="259"/>
      <c r="J198" s="316">
        <v>2.48</v>
      </c>
      <c r="K198" s="317">
        <v>3.78</v>
      </c>
      <c r="L198" s="318">
        <v>3.72</v>
      </c>
      <c r="M198" s="81">
        <v>107</v>
      </c>
      <c r="N198" s="215">
        <v>107</v>
      </c>
      <c r="O198" s="158">
        <v>208</v>
      </c>
      <c r="P198" s="215">
        <v>196</v>
      </c>
      <c r="Q198" s="215">
        <v>162</v>
      </c>
      <c r="R198" s="215">
        <v>32</v>
      </c>
      <c r="S198" s="215">
        <v>28</v>
      </c>
      <c r="T198" s="404">
        <v>7.27</v>
      </c>
    </row>
    <row r="199" spans="1:20" ht="12" customHeight="1" hidden="1">
      <c r="A199" s="86">
        <f>EOMONTH(A200,0)+1</f>
        <v>40634</v>
      </c>
      <c r="B199" s="33"/>
      <c r="C199" s="78">
        <v>6.65</v>
      </c>
      <c r="D199" s="79">
        <v>6.7</v>
      </c>
      <c r="E199" s="79">
        <v>6.7</v>
      </c>
      <c r="F199" s="80">
        <v>16.2</v>
      </c>
      <c r="G199" s="80">
        <v>15.2</v>
      </c>
      <c r="H199" s="80">
        <v>7.8</v>
      </c>
      <c r="I199" s="259"/>
      <c r="J199" s="316">
        <v>2.29</v>
      </c>
      <c r="K199" s="317">
        <v>3.76</v>
      </c>
      <c r="L199" s="318">
        <v>3.81</v>
      </c>
      <c r="M199" s="81">
        <v>108</v>
      </c>
      <c r="N199" s="215">
        <v>108</v>
      </c>
      <c r="O199" s="158">
        <v>208</v>
      </c>
      <c r="P199" s="215">
        <v>200</v>
      </c>
      <c r="Q199" s="215">
        <v>160</v>
      </c>
      <c r="R199" s="215">
        <v>35</v>
      </c>
      <c r="S199" s="215">
        <v>25</v>
      </c>
      <c r="T199" s="404">
        <v>7.8</v>
      </c>
    </row>
    <row r="200" spans="1:20" ht="12" customHeight="1" hidden="1">
      <c r="A200" s="86">
        <f>EOMONTH(A201,0)+1</f>
        <v>40603</v>
      </c>
      <c r="B200" s="33"/>
      <c r="C200" s="78">
        <v>6.7</v>
      </c>
      <c r="D200" s="79">
        <v>6.72</v>
      </c>
      <c r="E200" s="79">
        <v>6.72</v>
      </c>
      <c r="F200" s="80">
        <v>15.9</v>
      </c>
      <c r="G200" s="80">
        <v>16.3</v>
      </c>
      <c r="H200" s="80">
        <v>8.5</v>
      </c>
      <c r="I200" s="259"/>
      <c r="J200" s="316">
        <v>2.23</v>
      </c>
      <c r="K200" s="317">
        <v>3.94</v>
      </c>
      <c r="L200" s="318">
        <v>3.94</v>
      </c>
      <c r="M200" s="81">
        <v>107</v>
      </c>
      <c r="N200" s="215">
        <v>107</v>
      </c>
      <c r="O200" s="158">
        <v>208</v>
      </c>
      <c r="P200" s="215">
        <v>219</v>
      </c>
      <c r="Q200" s="215">
        <v>191</v>
      </c>
      <c r="R200" s="215">
        <v>25</v>
      </c>
      <c r="S200" s="215">
        <v>19</v>
      </c>
      <c r="T200" s="404">
        <v>8.27</v>
      </c>
    </row>
    <row r="201" spans="1:20" ht="12" customHeight="1" hidden="1">
      <c r="A201" s="86">
        <f>EOMONTH(A202,0)+1</f>
        <v>40575</v>
      </c>
      <c r="B201" s="33"/>
      <c r="C201" s="78">
        <v>6.6</v>
      </c>
      <c r="D201" s="79">
        <v>6.7</v>
      </c>
      <c r="E201" s="79">
        <v>6.7</v>
      </c>
      <c r="F201" s="80">
        <v>17.5</v>
      </c>
      <c r="G201" s="80">
        <v>19.2</v>
      </c>
      <c r="H201" s="80">
        <v>10.5</v>
      </c>
      <c r="I201" s="259"/>
      <c r="J201" s="316">
        <v>2.29</v>
      </c>
      <c r="K201" s="317">
        <v>3.82</v>
      </c>
      <c r="L201" s="318">
        <v>3.85</v>
      </c>
      <c r="M201" s="81">
        <v>107</v>
      </c>
      <c r="N201" s="215">
        <v>107</v>
      </c>
      <c r="O201" s="158">
        <v>208</v>
      </c>
      <c r="P201" s="215">
        <v>232</v>
      </c>
      <c r="Q201" s="215">
        <v>196</v>
      </c>
      <c r="R201" s="215">
        <v>38</v>
      </c>
      <c r="S201" s="215">
        <v>18</v>
      </c>
      <c r="T201" s="404">
        <v>8.24</v>
      </c>
    </row>
    <row r="202" spans="1:20" ht="12" customHeight="1" hidden="1">
      <c r="A202" s="86">
        <f>EOMONTH(A203,0)+1</f>
        <v>40544</v>
      </c>
      <c r="B202" s="33"/>
      <c r="C202" s="78">
        <v>6.55</v>
      </c>
      <c r="D202" s="79">
        <v>6.6</v>
      </c>
      <c r="E202" s="79">
        <v>6.6</v>
      </c>
      <c r="F202" s="80">
        <v>19.5</v>
      </c>
      <c r="G202" s="80">
        <v>22.2</v>
      </c>
      <c r="H202" s="80">
        <v>13.4</v>
      </c>
      <c r="I202" s="259"/>
      <c r="J202" s="316">
        <v>2.31</v>
      </c>
      <c r="K202" s="317">
        <v>3.7</v>
      </c>
      <c r="L202" s="318">
        <v>3.96</v>
      </c>
      <c r="M202" s="81">
        <v>106</v>
      </c>
      <c r="N202" s="215">
        <v>106</v>
      </c>
      <c r="O202" s="158">
        <v>207</v>
      </c>
      <c r="P202" s="215">
        <v>230</v>
      </c>
      <c r="Q202" s="215">
        <v>196</v>
      </c>
      <c r="R202" s="215">
        <v>35</v>
      </c>
      <c r="S202" s="215">
        <v>12</v>
      </c>
      <c r="T202" s="404">
        <v>8.35</v>
      </c>
    </row>
    <row r="203" spans="1:20" ht="12" customHeight="1" hidden="1">
      <c r="A203" s="86">
        <f>EOMONTH(A204,0)+1</f>
        <v>40513</v>
      </c>
      <c r="B203" s="33"/>
      <c r="C203" s="78">
        <v>6.5</v>
      </c>
      <c r="D203" s="79">
        <v>6.55</v>
      </c>
      <c r="E203" s="79">
        <v>6.6</v>
      </c>
      <c r="F203" s="80">
        <v>16</v>
      </c>
      <c r="G203" s="80">
        <v>16.2</v>
      </c>
      <c r="H203" s="80">
        <v>8.2</v>
      </c>
      <c r="I203" s="259"/>
      <c r="J203" s="316">
        <v>2.11</v>
      </c>
      <c r="K203" s="317">
        <v>4.12</v>
      </c>
      <c r="L203" s="318">
        <v>4.15</v>
      </c>
      <c r="M203" s="81">
        <v>106</v>
      </c>
      <c r="N203" s="215">
        <v>106</v>
      </c>
      <c r="O203" s="158">
        <v>204</v>
      </c>
      <c r="P203" s="215">
        <v>233</v>
      </c>
      <c r="Q203" s="215">
        <v>192</v>
      </c>
      <c r="R203" s="215">
        <v>40</v>
      </c>
      <c r="S203" s="215">
        <v>25</v>
      </c>
      <c r="T203" s="404">
        <v>7.73</v>
      </c>
    </row>
    <row r="204" spans="1:20" ht="12" customHeight="1" hidden="1">
      <c r="A204" s="86">
        <f>EOMONTH(A205,0)+1</f>
        <v>40483</v>
      </c>
      <c r="B204" s="33"/>
      <c r="C204" s="78">
        <v>6.5</v>
      </c>
      <c r="D204" s="79">
        <v>6.55</v>
      </c>
      <c r="E204" s="79">
        <v>6.58</v>
      </c>
      <c r="F204" s="80">
        <v>16</v>
      </c>
      <c r="G204" s="80">
        <v>16.1</v>
      </c>
      <c r="H204" s="80">
        <v>8.3</v>
      </c>
      <c r="I204" s="259"/>
      <c r="J204" s="316">
        <v>2.35</v>
      </c>
      <c r="K204" s="317">
        <v>4.27</v>
      </c>
      <c r="L204" s="318">
        <v>4.21</v>
      </c>
      <c r="M204" s="81">
        <v>107</v>
      </c>
      <c r="N204" s="215">
        <v>107</v>
      </c>
      <c r="O204" s="158">
        <v>208</v>
      </c>
      <c r="P204" s="215">
        <v>220</v>
      </c>
      <c r="Q204" s="215">
        <v>184</v>
      </c>
      <c r="R204" s="215">
        <v>37</v>
      </c>
      <c r="S204" s="215">
        <v>27</v>
      </c>
      <c r="T204" s="404">
        <v>8.03</v>
      </c>
    </row>
    <row r="205" spans="1:20" ht="12" customHeight="1" hidden="1">
      <c r="A205" s="86">
        <f>EOMONTH(A206,0)+1</f>
        <v>40452</v>
      </c>
      <c r="B205" s="33"/>
      <c r="C205" s="78">
        <v>6.58</v>
      </c>
      <c r="D205" s="79">
        <v>6.7</v>
      </c>
      <c r="E205" s="79">
        <v>6.7</v>
      </c>
      <c r="F205" s="80">
        <v>18.4</v>
      </c>
      <c r="G205" s="80">
        <v>19.4</v>
      </c>
      <c r="H205" s="80">
        <v>10.7</v>
      </c>
      <c r="I205" s="259"/>
      <c r="J205" s="316">
        <v>2.51</v>
      </c>
      <c r="K205" s="317">
        <v>3.74</v>
      </c>
      <c r="L205" s="318">
        <v>3.56</v>
      </c>
      <c r="M205" s="81">
        <v>107</v>
      </c>
      <c r="N205" s="215">
        <v>107</v>
      </c>
      <c r="O205" s="158">
        <v>208</v>
      </c>
      <c r="P205" s="215">
        <v>230</v>
      </c>
      <c r="Q205" s="215">
        <v>196</v>
      </c>
      <c r="R205" s="215">
        <v>35</v>
      </c>
      <c r="S205" s="215">
        <v>29</v>
      </c>
      <c r="T205" s="404">
        <v>9.61</v>
      </c>
    </row>
    <row r="206" spans="1:20" ht="12" customHeight="1" hidden="1">
      <c r="A206" s="86">
        <f>EOMONTH(A207,0)+1</f>
        <v>40422</v>
      </c>
      <c r="B206" s="33"/>
      <c r="C206" s="78">
        <v>6.4</v>
      </c>
      <c r="D206" s="79">
        <v>6.5</v>
      </c>
      <c r="E206" s="79">
        <v>6.5</v>
      </c>
      <c r="F206" s="80">
        <v>22.2</v>
      </c>
      <c r="G206" s="80">
        <v>24.4</v>
      </c>
      <c r="H206" s="80">
        <v>15.6</v>
      </c>
      <c r="I206" s="259"/>
      <c r="J206" s="316">
        <v>2.5</v>
      </c>
      <c r="K206" s="317">
        <v>3.63</v>
      </c>
      <c r="L206" s="318">
        <v>3.42</v>
      </c>
      <c r="M206" s="81">
        <v>105</v>
      </c>
      <c r="N206" s="215">
        <v>105</v>
      </c>
      <c r="O206" s="158">
        <v>203</v>
      </c>
      <c r="P206" s="215">
        <v>226</v>
      </c>
      <c r="Q206" s="215">
        <v>194</v>
      </c>
      <c r="R206" s="215">
        <v>31</v>
      </c>
      <c r="S206" s="215">
        <v>47</v>
      </c>
      <c r="T206" s="404">
        <v>7.58</v>
      </c>
    </row>
    <row r="207" spans="1:20" ht="12" customHeight="1" hidden="1">
      <c r="A207" s="86">
        <f>EOMONTH(A208,0)+1</f>
        <v>40391</v>
      </c>
      <c r="B207" s="33"/>
      <c r="C207" s="78">
        <v>6.3</v>
      </c>
      <c r="D207" s="79">
        <v>6.4</v>
      </c>
      <c r="E207" s="79">
        <v>6.4</v>
      </c>
      <c r="F207" s="80">
        <v>25</v>
      </c>
      <c r="G207" s="80">
        <v>29.3</v>
      </c>
      <c r="H207" s="80">
        <v>19.1</v>
      </c>
      <c r="I207" s="259"/>
      <c r="J207" s="316">
        <v>2.68</v>
      </c>
      <c r="K207" s="317">
        <v>3.73</v>
      </c>
      <c r="L207" s="318">
        <v>3.46</v>
      </c>
      <c r="M207" s="81">
        <v>104</v>
      </c>
      <c r="N207" s="215">
        <v>104</v>
      </c>
      <c r="O207" s="158">
        <v>202</v>
      </c>
      <c r="P207" s="215">
        <v>240</v>
      </c>
      <c r="Q207" s="215">
        <v>200</v>
      </c>
      <c r="R207" s="215">
        <v>41</v>
      </c>
      <c r="S207" s="215">
        <v>45</v>
      </c>
      <c r="T207" s="404">
        <v>7.59</v>
      </c>
    </row>
    <row r="208" spans="1:20" ht="12" customHeight="1" hidden="1">
      <c r="A208" s="86">
        <f>EOMONTH(A209,0)+1</f>
        <v>40360</v>
      </c>
      <c r="B208" s="33"/>
      <c r="C208" s="78">
        <v>6.49</v>
      </c>
      <c r="D208" s="79">
        <v>6.6</v>
      </c>
      <c r="E208" s="79">
        <v>6.6</v>
      </c>
      <c r="F208" s="80">
        <v>21</v>
      </c>
      <c r="G208" s="80">
        <v>23.2</v>
      </c>
      <c r="H208" s="80">
        <v>19.1</v>
      </c>
      <c r="I208" s="259"/>
      <c r="J208" s="316">
        <v>2.78</v>
      </c>
      <c r="K208" s="317">
        <v>3.67</v>
      </c>
      <c r="L208" s="318">
        <v>3.23</v>
      </c>
      <c r="M208" s="81">
        <v>107</v>
      </c>
      <c r="N208" s="215">
        <v>107</v>
      </c>
      <c r="O208" s="158">
        <v>207</v>
      </c>
      <c r="P208" s="215">
        <v>226</v>
      </c>
      <c r="Q208" s="215">
        <v>202</v>
      </c>
      <c r="R208" s="215">
        <v>24</v>
      </c>
      <c r="S208" s="215">
        <v>35</v>
      </c>
      <c r="T208" s="404">
        <v>8.49</v>
      </c>
    </row>
    <row r="209" spans="1:20" ht="12" customHeight="1" hidden="1">
      <c r="A209" s="86">
        <f>EOMONTH(A210,0)+1</f>
        <v>40330</v>
      </c>
      <c r="B209" s="33"/>
      <c r="C209" s="78">
        <v>6.49</v>
      </c>
      <c r="D209" s="79">
        <v>6.6</v>
      </c>
      <c r="E209" s="79">
        <v>6.6</v>
      </c>
      <c r="F209" s="80">
        <v>19.5</v>
      </c>
      <c r="G209" s="80">
        <v>20.3</v>
      </c>
      <c r="H209" s="80">
        <v>11.5</v>
      </c>
      <c r="I209" s="259"/>
      <c r="J209" s="316">
        <v>2.79</v>
      </c>
      <c r="K209" s="317">
        <v>3.6</v>
      </c>
      <c r="L209" s="318">
        <v>3.05</v>
      </c>
      <c r="M209" s="81">
        <v>105</v>
      </c>
      <c r="N209" s="215">
        <v>105</v>
      </c>
      <c r="O209" s="158">
        <v>206</v>
      </c>
      <c r="P209" s="215">
        <v>230</v>
      </c>
      <c r="Q209" s="215">
        <v>197</v>
      </c>
      <c r="R209" s="215">
        <v>28</v>
      </c>
      <c r="S209" s="215">
        <v>33</v>
      </c>
      <c r="T209" s="404">
        <v>7.88</v>
      </c>
    </row>
    <row r="210" spans="1:20" ht="12" customHeight="1" hidden="1">
      <c r="A210" s="86">
        <f>EOMONTH(A211,0)+1</f>
        <v>40299</v>
      </c>
      <c r="B210" s="33"/>
      <c r="C210" s="78">
        <v>6.5</v>
      </c>
      <c r="D210" s="79">
        <v>6.6</v>
      </c>
      <c r="E210" s="79">
        <v>6.65</v>
      </c>
      <c r="F210" s="80">
        <v>19</v>
      </c>
      <c r="G210" s="80">
        <v>20.2</v>
      </c>
      <c r="H210" s="80">
        <v>11.7</v>
      </c>
      <c r="I210" s="259"/>
      <c r="J210" s="316">
        <v>2.83</v>
      </c>
      <c r="K210" s="317">
        <v>3.69</v>
      </c>
      <c r="L210" s="318">
        <v>3.15</v>
      </c>
      <c r="M210" s="81">
        <v>106</v>
      </c>
      <c r="N210" s="215">
        <v>106</v>
      </c>
      <c r="O210" s="158">
        <v>206</v>
      </c>
      <c r="P210" s="215">
        <v>223</v>
      </c>
      <c r="Q210" s="215">
        <v>183</v>
      </c>
      <c r="R210" s="215">
        <v>27</v>
      </c>
      <c r="S210" s="215">
        <v>36</v>
      </c>
      <c r="T210" s="404">
        <v>8.29</v>
      </c>
    </row>
    <row r="211" spans="1:20" ht="12" customHeight="1" hidden="1">
      <c r="A211" s="86">
        <f>EOMONTH(A212,0)+1</f>
        <v>40269</v>
      </c>
      <c r="B211" s="33"/>
      <c r="C211" s="78">
        <v>6.52</v>
      </c>
      <c r="D211" s="79">
        <v>6.55</v>
      </c>
      <c r="E211" s="79">
        <v>6.65</v>
      </c>
      <c r="F211" s="80">
        <v>16.5</v>
      </c>
      <c r="G211" s="80">
        <v>16.5</v>
      </c>
      <c r="H211" s="80">
        <v>8.8</v>
      </c>
      <c r="I211" s="259"/>
      <c r="J211" s="316">
        <v>2.62</v>
      </c>
      <c r="K211" s="317">
        <v>3.61</v>
      </c>
      <c r="L211" s="318">
        <v>3.06</v>
      </c>
      <c r="M211" s="81">
        <v>106</v>
      </c>
      <c r="N211" s="215">
        <v>106</v>
      </c>
      <c r="O211" s="158">
        <v>206</v>
      </c>
      <c r="P211" s="215">
        <v>225</v>
      </c>
      <c r="Q211" s="215">
        <v>193</v>
      </c>
      <c r="R211" s="215">
        <v>33</v>
      </c>
      <c r="S211" s="215">
        <v>26</v>
      </c>
      <c r="T211" s="404">
        <v>8.12</v>
      </c>
    </row>
    <row r="212" spans="1:20" ht="12" customHeight="1" hidden="1">
      <c r="A212" s="86">
        <f>EOMONTH(A213,0)+1</f>
        <v>40238</v>
      </c>
      <c r="B212" s="33"/>
      <c r="C212" s="78">
        <v>6.6</v>
      </c>
      <c r="D212" s="79">
        <v>6.6</v>
      </c>
      <c r="E212" s="79">
        <v>6.7</v>
      </c>
      <c r="F212" s="80">
        <v>17.1</v>
      </c>
      <c r="G212" s="80">
        <v>17.3</v>
      </c>
      <c r="H212" s="80">
        <v>8.3</v>
      </c>
      <c r="I212" s="259"/>
      <c r="J212" s="316">
        <v>2.65</v>
      </c>
      <c r="K212" s="317">
        <v>3.67</v>
      </c>
      <c r="L212" s="318">
        <v>3.07</v>
      </c>
      <c r="M212" s="81">
        <v>106</v>
      </c>
      <c r="N212" s="215">
        <v>106</v>
      </c>
      <c r="O212" s="158">
        <v>208</v>
      </c>
      <c r="P212" s="215">
        <v>223</v>
      </c>
      <c r="Q212" s="215">
        <v>197</v>
      </c>
      <c r="R212" s="215">
        <v>25</v>
      </c>
      <c r="S212" s="215">
        <v>25</v>
      </c>
      <c r="T212" s="404">
        <v>8.43</v>
      </c>
    </row>
    <row r="213" spans="1:20" ht="12" customHeight="1" hidden="1">
      <c r="A213" s="86">
        <f>EOMONTH(A214,0)+1</f>
        <v>40210</v>
      </c>
      <c r="B213" s="33"/>
      <c r="C213" s="78">
        <v>6.52</v>
      </c>
      <c r="D213" s="79">
        <v>6.55</v>
      </c>
      <c r="E213" s="79">
        <v>6.62</v>
      </c>
      <c r="F213" s="80">
        <v>20.1</v>
      </c>
      <c r="G213" s="80">
        <v>22.2</v>
      </c>
      <c r="H213" s="80">
        <v>13.2</v>
      </c>
      <c r="I213" s="259"/>
      <c r="J213" s="316">
        <v>2.82</v>
      </c>
      <c r="K213" s="317">
        <v>3.51</v>
      </c>
      <c r="L213" s="318">
        <v>3.02</v>
      </c>
      <c r="M213" s="81">
        <v>105</v>
      </c>
      <c r="N213" s="215">
        <v>105</v>
      </c>
      <c r="O213" s="158">
        <v>205</v>
      </c>
      <c r="P213" s="215">
        <v>239</v>
      </c>
      <c r="Q213" s="215">
        <v>193</v>
      </c>
      <c r="R213" s="215">
        <v>43</v>
      </c>
      <c r="S213" s="215">
        <v>15</v>
      </c>
      <c r="T213" s="404">
        <v>8.88</v>
      </c>
    </row>
    <row r="214" spans="1:20" ht="12" customHeight="1" hidden="1">
      <c r="A214" s="86">
        <f>EOMONTH(A215,0)+1</f>
        <v>40179</v>
      </c>
      <c r="B214" s="33"/>
      <c r="C214" s="78">
        <v>6.55</v>
      </c>
      <c r="D214" s="79">
        <v>6.65</v>
      </c>
      <c r="E214" s="79">
        <v>6.62</v>
      </c>
      <c r="F214" s="80">
        <v>19.8</v>
      </c>
      <c r="G214" s="80">
        <v>20.8</v>
      </c>
      <c r="H214" s="80">
        <v>11.4</v>
      </c>
      <c r="I214" s="259"/>
      <c r="J214" s="316">
        <v>2.68</v>
      </c>
      <c r="K214" s="317">
        <v>3.54</v>
      </c>
      <c r="L214" s="318">
        <v>3.13</v>
      </c>
      <c r="M214" s="81">
        <v>106</v>
      </c>
      <c r="N214" s="215">
        <v>106</v>
      </c>
      <c r="O214" s="158">
        <v>208</v>
      </c>
      <c r="P214" s="215">
        <v>235</v>
      </c>
      <c r="Q214" s="215">
        <v>204</v>
      </c>
      <c r="R214" s="215">
        <v>35</v>
      </c>
      <c r="S214" s="215">
        <v>13</v>
      </c>
      <c r="T214" s="404">
        <v>9.74</v>
      </c>
    </row>
    <row r="215" spans="1:20" ht="12" customHeight="1" hidden="1">
      <c r="A215" s="86">
        <f>EOMONTH(A216,0)+1</f>
        <v>40148</v>
      </c>
      <c r="B215" s="33"/>
      <c r="C215" s="78">
        <v>6.6</v>
      </c>
      <c r="D215" s="79">
        <v>6.7</v>
      </c>
      <c r="E215" s="79">
        <v>6.7</v>
      </c>
      <c r="F215" s="80">
        <v>18</v>
      </c>
      <c r="G215" s="80">
        <v>18.3</v>
      </c>
      <c r="H215" s="80">
        <v>9</v>
      </c>
      <c r="I215" s="259"/>
      <c r="J215" s="316">
        <v>2.55</v>
      </c>
      <c r="K215" s="317">
        <v>3.55</v>
      </c>
      <c r="L215" s="318">
        <v>3.08</v>
      </c>
      <c r="M215" s="81">
        <v>107</v>
      </c>
      <c r="N215" s="215">
        <v>106</v>
      </c>
      <c r="O215" s="158">
        <v>208</v>
      </c>
      <c r="P215" s="215">
        <v>240</v>
      </c>
      <c r="Q215" s="215">
        <v>200</v>
      </c>
      <c r="R215" s="215">
        <v>34</v>
      </c>
      <c r="S215" s="215">
        <v>17</v>
      </c>
      <c r="T215" s="404">
        <v>9.49</v>
      </c>
    </row>
    <row r="216" spans="1:20" ht="12" customHeight="1" hidden="1">
      <c r="A216" s="86">
        <f>EOMONTH(A217,0)+1</f>
        <v>40118</v>
      </c>
      <c r="B216" s="33"/>
      <c r="C216" s="78">
        <v>6.62</v>
      </c>
      <c r="D216" s="79">
        <v>6.7</v>
      </c>
      <c r="E216" s="79">
        <v>6.72</v>
      </c>
      <c r="F216" s="80">
        <v>18</v>
      </c>
      <c r="G216" s="80">
        <v>18.6</v>
      </c>
      <c r="H216" s="80">
        <v>9</v>
      </c>
      <c r="I216" s="259"/>
      <c r="J216" s="316">
        <v>2.66</v>
      </c>
      <c r="K216" s="317">
        <v>3.59</v>
      </c>
      <c r="L216" s="318">
        <v>2.94</v>
      </c>
      <c r="M216" s="81">
        <v>108</v>
      </c>
      <c r="N216" s="215">
        <v>108</v>
      </c>
      <c r="O216" s="158">
        <v>209</v>
      </c>
      <c r="P216" s="215">
        <v>250</v>
      </c>
      <c r="Q216" s="215">
        <v>195</v>
      </c>
      <c r="R216" s="215">
        <v>40</v>
      </c>
      <c r="S216" s="215">
        <v>29</v>
      </c>
      <c r="T216" s="404">
        <v>8.59</v>
      </c>
    </row>
    <row r="217" spans="1:20" ht="12" customHeight="1" hidden="1">
      <c r="A217" s="86">
        <f>EOMONTH(A218,0)+1</f>
        <v>40087</v>
      </c>
      <c r="B217" s="33"/>
      <c r="C217" s="78">
        <v>6.6</v>
      </c>
      <c r="D217" s="79">
        <v>6.7</v>
      </c>
      <c r="E217" s="79">
        <v>6.7</v>
      </c>
      <c r="F217" s="80">
        <v>19</v>
      </c>
      <c r="G217" s="80">
        <v>18.9</v>
      </c>
      <c r="H217" s="80">
        <v>10.1</v>
      </c>
      <c r="I217" s="259"/>
      <c r="J217" s="316">
        <v>2.66</v>
      </c>
      <c r="K217" s="317">
        <v>3.72</v>
      </c>
      <c r="L217" s="318">
        <v>3.22</v>
      </c>
      <c r="M217" s="81">
        <v>106</v>
      </c>
      <c r="N217" s="215">
        <v>106</v>
      </c>
      <c r="O217" s="158">
        <v>208</v>
      </c>
      <c r="P217" s="215">
        <v>250</v>
      </c>
      <c r="Q217" s="215">
        <v>200</v>
      </c>
      <c r="R217" s="215">
        <v>58</v>
      </c>
      <c r="S217" s="215">
        <v>28</v>
      </c>
      <c r="T217" s="404">
        <v>8.21</v>
      </c>
    </row>
    <row r="218" spans="1:20" ht="12" customHeight="1" hidden="1">
      <c r="A218" s="86">
        <f>EOMONTH(A219,0)+1</f>
        <v>40057</v>
      </c>
      <c r="B218" s="33"/>
      <c r="C218" s="78">
        <v>6.48</v>
      </c>
      <c r="D218" s="79">
        <v>6.55</v>
      </c>
      <c r="E218" s="79">
        <v>6.6</v>
      </c>
      <c r="F218" s="80">
        <v>21.9</v>
      </c>
      <c r="G218" s="80">
        <v>21.4</v>
      </c>
      <c r="H218" s="80">
        <v>12.7</v>
      </c>
      <c r="I218" s="259"/>
      <c r="J218" s="316">
        <v>4.31</v>
      </c>
      <c r="K218" s="317">
        <v>6.1</v>
      </c>
      <c r="L218" s="318">
        <v>0.91</v>
      </c>
      <c r="M218" s="81">
        <v>108</v>
      </c>
      <c r="N218" s="215">
        <v>108</v>
      </c>
      <c r="O218" s="158">
        <v>208</v>
      </c>
      <c r="P218" s="215">
        <v>240</v>
      </c>
      <c r="Q218" s="215">
        <v>200</v>
      </c>
      <c r="R218" s="215">
        <v>43</v>
      </c>
      <c r="S218" s="215">
        <v>43</v>
      </c>
      <c r="T218" s="404">
        <v>8.55</v>
      </c>
    </row>
    <row r="219" spans="1:20" ht="12" customHeight="1" hidden="1">
      <c r="A219" s="86">
        <f>EOMONTH(A220,0)+1</f>
        <v>40026</v>
      </c>
      <c r="B219" s="33"/>
      <c r="C219" s="78">
        <v>6.45</v>
      </c>
      <c r="D219" s="79">
        <v>6.52</v>
      </c>
      <c r="E219" s="79">
        <v>6.52</v>
      </c>
      <c r="F219" s="80">
        <v>22</v>
      </c>
      <c r="G219" s="80">
        <v>25</v>
      </c>
      <c r="H219" s="80">
        <v>14</v>
      </c>
      <c r="I219" s="259"/>
      <c r="J219" s="316">
        <v>2.68</v>
      </c>
      <c r="K219" s="317">
        <v>3.75</v>
      </c>
      <c r="L219" s="318">
        <v>3.23</v>
      </c>
      <c r="M219" s="81">
        <v>106</v>
      </c>
      <c r="N219" s="215">
        <v>106</v>
      </c>
      <c r="O219" s="158">
        <v>206</v>
      </c>
      <c r="P219" s="215">
        <v>252</v>
      </c>
      <c r="Q219" s="215">
        <v>206</v>
      </c>
      <c r="R219" s="215">
        <v>44</v>
      </c>
      <c r="S219" s="215">
        <v>39</v>
      </c>
      <c r="T219" s="404">
        <v>8.41</v>
      </c>
    </row>
    <row r="220" spans="1:20" ht="12" customHeight="1" hidden="1">
      <c r="A220" s="86">
        <f>EOMONTH(A221,0)+1</f>
        <v>39995</v>
      </c>
      <c r="B220" s="33"/>
      <c r="C220" s="78">
        <v>6.4</v>
      </c>
      <c r="D220" s="79">
        <v>6.5</v>
      </c>
      <c r="E220" s="79">
        <v>6.55</v>
      </c>
      <c r="F220" s="80">
        <v>23.7</v>
      </c>
      <c r="G220" s="80">
        <v>25.9</v>
      </c>
      <c r="H220" s="80">
        <v>15.5</v>
      </c>
      <c r="I220" s="259"/>
      <c r="J220" s="316">
        <v>2.94</v>
      </c>
      <c r="K220" s="317">
        <v>3.83</v>
      </c>
      <c r="L220" s="318">
        <v>3.09</v>
      </c>
      <c r="M220" s="81">
        <v>105</v>
      </c>
      <c r="N220" s="215">
        <v>105</v>
      </c>
      <c r="O220" s="158">
        <v>205</v>
      </c>
      <c r="P220" s="215">
        <v>245</v>
      </c>
      <c r="Q220" s="215">
        <v>210</v>
      </c>
      <c r="R220" s="215">
        <v>30</v>
      </c>
      <c r="S220" s="215">
        <v>44</v>
      </c>
      <c r="T220" s="404">
        <v>7.78</v>
      </c>
    </row>
    <row r="221" spans="1:20" ht="12" customHeight="1" hidden="1">
      <c r="A221" s="86">
        <f>EOMONTH(A222,0)+1</f>
        <v>39965</v>
      </c>
      <c r="B221" s="33"/>
      <c r="C221" s="78">
        <v>6.6</v>
      </c>
      <c r="D221" s="79">
        <v>6.65</v>
      </c>
      <c r="E221" s="79">
        <v>6.7</v>
      </c>
      <c r="F221" s="80">
        <v>19.1</v>
      </c>
      <c r="G221" s="80">
        <v>20</v>
      </c>
      <c r="H221" s="80">
        <v>10.5</v>
      </c>
      <c r="I221" s="259"/>
      <c r="J221" s="316">
        <v>2.86</v>
      </c>
      <c r="K221" s="317">
        <v>3.71</v>
      </c>
      <c r="L221" s="318">
        <v>2.8</v>
      </c>
      <c r="M221" s="81">
        <v>106</v>
      </c>
      <c r="N221" s="215">
        <v>106</v>
      </c>
      <c r="O221" s="158">
        <v>207</v>
      </c>
      <c r="P221" s="215">
        <v>240</v>
      </c>
      <c r="Q221" s="215">
        <v>210</v>
      </c>
      <c r="R221" s="215">
        <v>30</v>
      </c>
      <c r="S221" s="215">
        <v>32</v>
      </c>
      <c r="T221" s="404">
        <v>8.3</v>
      </c>
    </row>
    <row r="222" spans="1:20" ht="12" customHeight="1" hidden="1">
      <c r="A222" s="86">
        <f>EOMONTH(A223,0)+1</f>
        <v>39934</v>
      </c>
      <c r="B222" s="33"/>
      <c r="C222" s="78">
        <v>6.7</v>
      </c>
      <c r="D222" s="79">
        <v>6.74</v>
      </c>
      <c r="E222" s="79">
        <v>6.74</v>
      </c>
      <c r="F222" s="80">
        <v>18</v>
      </c>
      <c r="G222" s="80">
        <v>18.1</v>
      </c>
      <c r="H222" s="80">
        <v>9.3</v>
      </c>
      <c r="I222" s="259"/>
      <c r="J222" s="316">
        <v>2.8</v>
      </c>
      <c r="K222" s="317">
        <v>3.56</v>
      </c>
      <c r="L222" s="318">
        <v>2.77</v>
      </c>
      <c r="M222" s="81">
        <v>108</v>
      </c>
      <c r="N222" s="215">
        <v>108</v>
      </c>
      <c r="O222" s="158">
        <v>209</v>
      </c>
      <c r="P222" s="215">
        <v>233</v>
      </c>
      <c r="Q222" s="215">
        <v>199</v>
      </c>
      <c r="R222" s="215">
        <v>42</v>
      </c>
      <c r="S222" s="215">
        <v>26</v>
      </c>
      <c r="T222" s="404">
        <v>9.61</v>
      </c>
    </row>
    <row r="223" spans="1:20" ht="12" customHeight="1" hidden="1">
      <c r="A223" s="86">
        <f>EOMONTH(A224,0)+1</f>
        <v>39904</v>
      </c>
      <c r="B223" s="33"/>
      <c r="C223" s="78">
        <v>6.7</v>
      </c>
      <c r="D223" s="79">
        <v>6.75</v>
      </c>
      <c r="E223" s="79">
        <v>6.76</v>
      </c>
      <c r="F223" s="80">
        <v>19</v>
      </c>
      <c r="G223" s="80">
        <v>18.3</v>
      </c>
      <c r="H223" s="80">
        <v>8.4</v>
      </c>
      <c r="I223" s="259"/>
      <c r="J223" s="316">
        <v>2.7</v>
      </c>
      <c r="K223" s="317">
        <v>3.63</v>
      </c>
      <c r="L223" s="318">
        <v>2.84</v>
      </c>
      <c r="M223" s="81">
        <v>107</v>
      </c>
      <c r="N223" s="215">
        <v>107</v>
      </c>
      <c r="O223" s="158">
        <v>209</v>
      </c>
      <c r="P223" s="215">
        <v>242</v>
      </c>
      <c r="Q223" s="215">
        <v>198</v>
      </c>
      <c r="R223" s="215">
        <v>44</v>
      </c>
      <c r="S223" s="215">
        <v>22</v>
      </c>
      <c r="T223" s="404">
        <v>9.35</v>
      </c>
    </row>
    <row r="224" spans="1:20" ht="12" customHeight="1" hidden="1">
      <c r="A224" s="86">
        <f>EOMONTH(A225,0)+1</f>
        <v>39873</v>
      </c>
      <c r="B224" s="33"/>
      <c r="C224" s="78">
        <v>6.7</v>
      </c>
      <c r="D224" s="79">
        <v>6.73</v>
      </c>
      <c r="E224" s="79">
        <v>6.73</v>
      </c>
      <c r="F224" s="80">
        <v>19.4</v>
      </c>
      <c r="G224" s="80">
        <v>19.1</v>
      </c>
      <c r="H224" s="80">
        <v>9.1</v>
      </c>
      <c r="I224" s="259"/>
      <c r="J224" s="316">
        <v>2.71</v>
      </c>
      <c r="K224" s="317">
        <v>3.55</v>
      </c>
      <c r="L224" s="318">
        <v>2.52</v>
      </c>
      <c r="M224" s="81">
        <v>107</v>
      </c>
      <c r="N224" s="215">
        <v>107</v>
      </c>
      <c r="O224" s="158">
        <v>209</v>
      </c>
      <c r="P224" s="215">
        <v>240</v>
      </c>
      <c r="Q224" s="215">
        <v>205</v>
      </c>
      <c r="R224" s="215">
        <v>35</v>
      </c>
      <c r="S224" s="215">
        <v>19</v>
      </c>
      <c r="T224" s="404">
        <v>8.41</v>
      </c>
    </row>
    <row r="225" spans="1:20" ht="12" customHeight="1" hidden="1">
      <c r="A225" s="86">
        <f>EOMONTH(A226,0)+1</f>
        <v>39845</v>
      </c>
      <c r="B225" s="33"/>
      <c r="C225" s="78">
        <v>6.65</v>
      </c>
      <c r="D225" s="79">
        <v>6.7</v>
      </c>
      <c r="E225" s="79">
        <v>6.7</v>
      </c>
      <c r="F225" s="80">
        <v>19.1</v>
      </c>
      <c r="G225" s="80">
        <v>19.1</v>
      </c>
      <c r="H225" s="80">
        <v>9.3</v>
      </c>
      <c r="I225" s="259"/>
      <c r="J225" s="316">
        <v>2.67</v>
      </c>
      <c r="K225" s="317">
        <v>3.51</v>
      </c>
      <c r="L225" s="318">
        <v>2.67</v>
      </c>
      <c r="M225" s="81">
        <v>107</v>
      </c>
      <c r="N225" s="215">
        <v>106</v>
      </c>
      <c r="O225" s="158">
        <v>208</v>
      </c>
      <c r="P225" s="215">
        <v>245</v>
      </c>
      <c r="Q225" s="215">
        <v>230</v>
      </c>
      <c r="R225" s="215">
        <v>15</v>
      </c>
      <c r="S225" s="215">
        <v>19</v>
      </c>
      <c r="T225" s="404">
        <v>8.49</v>
      </c>
    </row>
    <row r="226" spans="1:20" ht="12" customHeight="1" hidden="1">
      <c r="A226" s="86">
        <f>EOMONTH(A227,0)+1</f>
        <v>39814</v>
      </c>
      <c r="B226" s="33"/>
      <c r="C226" s="78">
        <v>6.7</v>
      </c>
      <c r="D226" s="79">
        <v>6.75</v>
      </c>
      <c r="E226" s="79">
        <v>6.75</v>
      </c>
      <c r="F226" s="80">
        <v>20.8</v>
      </c>
      <c r="G226" s="80">
        <v>20.8</v>
      </c>
      <c r="H226" s="80">
        <v>10.4</v>
      </c>
      <c r="I226" s="259"/>
      <c r="J226" s="316">
        <v>2.78</v>
      </c>
      <c r="K226" s="317">
        <v>3.77</v>
      </c>
      <c r="L226" s="318">
        <v>2.87</v>
      </c>
      <c r="M226" s="81">
        <v>108</v>
      </c>
      <c r="N226" s="215">
        <v>108</v>
      </c>
      <c r="O226" s="158">
        <v>210</v>
      </c>
      <c r="P226" s="215">
        <v>230</v>
      </c>
      <c r="Q226" s="215">
        <v>220</v>
      </c>
      <c r="R226" s="215">
        <v>11</v>
      </c>
      <c r="S226" s="215">
        <v>15</v>
      </c>
      <c r="T226" s="404">
        <v>9.55</v>
      </c>
    </row>
    <row r="227" spans="1:20" ht="12" customHeight="1" hidden="1">
      <c r="A227" s="86">
        <f>EOMONTH(A228,0)+1</f>
        <v>39783</v>
      </c>
      <c r="B227" s="33"/>
      <c r="C227" s="78">
        <v>6.6</v>
      </c>
      <c r="D227" s="79">
        <v>6.7</v>
      </c>
      <c r="E227" s="79">
        <v>6.7</v>
      </c>
      <c r="F227" s="80">
        <v>21.3</v>
      </c>
      <c r="G227" s="80">
        <v>21.6</v>
      </c>
      <c r="H227" s="80">
        <v>9.1</v>
      </c>
      <c r="I227" s="259"/>
      <c r="J227" s="316">
        <v>2.73</v>
      </c>
      <c r="K227" s="317">
        <v>3.7</v>
      </c>
      <c r="L227" s="318">
        <v>2.75</v>
      </c>
      <c r="M227" s="81">
        <v>106</v>
      </c>
      <c r="N227" s="215">
        <v>105</v>
      </c>
      <c r="O227" s="158">
        <v>208</v>
      </c>
      <c r="P227" s="215">
        <v>280</v>
      </c>
      <c r="Q227" s="215">
        <v>220</v>
      </c>
      <c r="R227" s="215">
        <v>57</v>
      </c>
      <c r="S227" s="215">
        <v>23</v>
      </c>
      <c r="T227" s="404">
        <v>8.78</v>
      </c>
    </row>
    <row r="228" spans="1:20" ht="12" customHeight="1" hidden="1">
      <c r="A228" s="86">
        <f>EOMONTH(A229,0)+1</f>
        <v>39753</v>
      </c>
      <c r="B228" s="33"/>
      <c r="C228" s="78">
        <v>6.65</v>
      </c>
      <c r="D228" s="79">
        <v>6.7</v>
      </c>
      <c r="E228" s="79">
        <v>6.74</v>
      </c>
      <c r="F228" s="80">
        <v>20.2</v>
      </c>
      <c r="G228" s="80">
        <v>20.2</v>
      </c>
      <c r="H228" s="80">
        <v>10.4</v>
      </c>
      <c r="I228" s="259"/>
      <c r="J228" s="316">
        <v>2.81</v>
      </c>
      <c r="K228" s="317">
        <v>3.73</v>
      </c>
      <c r="L228" s="318">
        <v>2.9</v>
      </c>
      <c r="M228" s="81">
        <v>108</v>
      </c>
      <c r="N228" s="215">
        <v>108</v>
      </c>
      <c r="O228" s="158">
        <v>209</v>
      </c>
      <c r="P228" s="215">
        <v>216</v>
      </c>
      <c r="Q228" s="215">
        <v>199</v>
      </c>
      <c r="R228" s="215">
        <v>32</v>
      </c>
      <c r="S228" s="215">
        <v>28</v>
      </c>
      <c r="T228" s="404">
        <v>8.33</v>
      </c>
    </row>
    <row r="229" spans="1:20" ht="12" customHeight="1" hidden="1">
      <c r="A229" s="86">
        <f>EOMONTH(A230,0)+1</f>
        <v>39722</v>
      </c>
      <c r="B229" s="33"/>
      <c r="C229" s="78">
        <v>6.7</v>
      </c>
      <c r="D229" s="79">
        <v>6.75</v>
      </c>
      <c r="E229" s="79">
        <v>6.8</v>
      </c>
      <c r="F229" s="80">
        <v>21</v>
      </c>
      <c r="G229" s="80">
        <v>22</v>
      </c>
      <c r="H229" s="80">
        <v>11</v>
      </c>
      <c r="I229" s="259"/>
      <c r="J229" s="316">
        <v>2.84</v>
      </c>
      <c r="K229" s="317">
        <v>3.7</v>
      </c>
      <c r="L229" s="318">
        <v>3.02</v>
      </c>
      <c r="M229" s="81">
        <v>108</v>
      </c>
      <c r="N229" s="215">
        <v>108</v>
      </c>
      <c r="O229" s="158">
        <v>211</v>
      </c>
      <c r="P229" s="215">
        <v>225</v>
      </c>
      <c r="Q229" s="215">
        <v>195</v>
      </c>
      <c r="R229" s="215">
        <v>34</v>
      </c>
      <c r="S229" s="215">
        <v>30</v>
      </c>
      <c r="T229" s="404">
        <v>9.11</v>
      </c>
    </row>
    <row r="230" spans="1:20" ht="12" customHeight="1" hidden="1">
      <c r="A230" s="86">
        <f>EOMONTH(A231,0)+1</f>
        <v>39692</v>
      </c>
      <c r="B230" s="33"/>
      <c r="C230" s="78">
        <v>6.65</v>
      </c>
      <c r="D230" s="79">
        <v>6.7</v>
      </c>
      <c r="E230" s="79">
        <v>6.7</v>
      </c>
      <c r="F230" s="80">
        <v>23.7</v>
      </c>
      <c r="G230" s="80">
        <v>25.1</v>
      </c>
      <c r="H230" s="80">
        <v>14.1</v>
      </c>
      <c r="I230" s="259"/>
      <c r="J230" s="316">
        <v>2.92</v>
      </c>
      <c r="K230" s="317">
        <v>3.78</v>
      </c>
      <c r="L230" s="318">
        <v>2.96</v>
      </c>
      <c r="M230" s="81">
        <v>107</v>
      </c>
      <c r="N230" s="215">
        <v>106</v>
      </c>
      <c r="O230" s="158">
        <v>206</v>
      </c>
      <c r="P230" s="215">
        <v>240</v>
      </c>
      <c r="Q230" s="215">
        <v>204</v>
      </c>
      <c r="R230" s="215">
        <v>34</v>
      </c>
      <c r="S230" s="215">
        <v>38</v>
      </c>
      <c r="T230" s="404">
        <v>8.51</v>
      </c>
    </row>
    <row r="231" spans="1:20" ht="12" customHeight="1" hidden="1">
      <c r="A231" s="86">
        <f>EOMONTH(A232,0)+1</f>
        <v>39661</v>
      </c>
      <c r="B231" s="33"/>
      <c r="C231" s="78">
        <v>6.6</v>
      </c>
      <c r="D231" s="79">
        <v>6.7</v>
      </c>
      <c r="E231" s="79">
        <v>6.7</v>
      </c>
      <c r="F231" s="80">
        <v>23.5</v>
      </c>
      <c r="G231" s="80">
        <v>25</v>
      </c>
      <c r="H231" s="80">
        <v>13.5</v>
      </c>
      <c r="I231" s="259"/>
      <c r="J231" s="316">
        <v>2.76</v>
      </c>
      <c r="K231" s="317">
        <v>3.66</v>
      </c>
      <c r="L231" s="318">
        <v>3.21</v>
      </c>
      <c r="M231" s="81">
        <v>107</v>
      </c>
      <c r="N231" s="215">
        <v>107</v>
      </c>
      <c r="O231" s="158">
        <v>208</v>
      </c>
      <c r="P231" s="215">
        <v>259</v>
      </c>
      <c r="Q231" s="215">
        <v>201</v>
      </c>
      <c r="R231" s="215">
        <v>57</v>
      </c>
      <c r="S231" s="215">
        <v>37</v>
      </c>
      <c r="T231" s="404">
        <v>8.97</v>
      </c>
    </row>
    <row r="232" spans="1:20" ht="12" customHeight="1" hidden="1">
      <c r="A232" s="86">
        <f>EOMONTH(A233,0)+1</f>
        <v>39630</v>
      </c>
      <c r="B232" s="33"/>
      <c r="C232" s="78">
        <v>6.5</v>
      </c>
      <c r="D232" s="79">
        <v>6.6</v>
      </c>
      <c r="E232" s="79">
        <v>6.55</v>
      </c>
      <c r="F232" s="80">
        <v>25</v>
      </c>
      <c r="G232" s="80">
        <v>27</v>
      </c>
      <c r="H232" s="80">
        <v>16</v>
      </c>
      <c r="I232" s="259"/>
      <c r="J232" s="316">
        <v>2.59</v>
      </c>
      <c r="K232" s="317">
        <v>3.7</v>
      </c>
      <c r="L232" s="318">
        <v>3.21</v>
      </c>
      <c r="M232" s="81">
        <v>106</v>
      </c>
      <c r="N232" s="215">
        <v>105</v>
      </c>
      <c r="O232" s="158">
        <v>206</v>
      </c>
      <c r="P232" s="215">
        <v>265</v>
      </c>
      <c r="Q232" s="215">
        <v>202</v>
      </c>
      <c r="R232" s="215">
        <v>62</v>
      </c>
      <c r="S232" s="215">
        <v>47</v>
      </c>
      <c r="T232" s="404">
        <v>8.39</v>
      </c>
    </row>
    <row r="233" spans="1:20" ht="12" customHeight="1" hidden="1">
      <c r="A233" s="86">
        <f>EOMONTH(A234,0)+1</f>
        <v>39600</v>
      </c>
      <c r="B233" s="33"/>
      <c r="C233" s="78">
        <v>6.45</v>
      </c>
      <c r="D233" s="79">
        <v>6.5</v>
      </c>
      <c r="E233" s="79">
        <v>6.51</v>
      </c>
      <c r="F233" s="80">
        <v>20.5</v>
      </c>
      <c r="G233" s="80">
        <v>20.5</v>
      </c>
      <c r="H233" s="80">
        <v>10.8</v>
      </c>
      <c r="I233" s="259"/>
      <c r="J233" s="316">
        <v>2.64</v>
      </c>
      <c r="K233" s="317">
        <v>3.48</v>
      </c>
      <c r="L233" s="318">
        <v>2.89</v>
      </c>
      <c r="M233" s="81">
        <v>108</v>
      </c>
      <c r="N233" s="215">
        <v>108</v>
      </c>
      <c r="O233" s="158">
        <v>210</v>
      </c>
      <c r="P233" s="215">
        <v>229</v>
      </c>
      <c r="Q233" s="215">
        <v>191</v>
      </c>
      <c r="R233" s="215">
        <v>37</v>
      </c>
      <c r="S233" s="215">
        <v>32</v>
      </c>
      <c r="T233" s="404">
        <v>8.64</v>
      </c>
    </row>
    <row r="234" spans="1:20" ht="12" customHeight="1" hidden="1">
      <c r="A234" s="86">
        <f>EOMONTH(A235,0)+1</f>
        <v>39569</v>
      </c>
      <c r="B234" s="33"/>
      <c r="C234" s="78">
        <v>6.3</v>
      </c>
      <c r="D234" s="79">
        <v>6.3</v>
      </c>
      <c r="E234" s="79">
        <v>6.4</v>
      </c>
      <c r="F234" s="80">
        <v>22</v>
      </c>
      <c r="G234" s="80">
        <v>22.6</v>
      </c>
      <c r="H234" s="80">
        <v>12.5</v>
      </c>
      <c r="I234" s="259"/>
      <c r="J234" s="316">
        <v>2.65</v>
      </c>
      <c r="K234" s="317">
        <v>3.52</v>
      </c>
      <c r="L234" s="318">
        <v>2.8</v>
      </c>
      <c r="M234" s="81">
        <v>107</v>
      </c>
      <c r="N234" s="215">
        <v>107</v>
      </c>
      <c r="O234" s="158">
        <v>209</v>
      </c>
      <c r="P234" s="215">
        <v>267</v>
      </c>
      <c r="Q234" s="215">
        <v>192</v>
      </c>
      <c r="R234" s="215">
        <v>74</v>
      </c>
      <c r="S234" s="215">
        <v>33</v>
      </c>
      <c r="T234" s="404">
        <v>8.63</v>
      </c>
    </row>
    <row r="235" spans="1:20" ht="12" customHeight="1" hidden="1">
      <c r="A235" s="86">
        <f>EOMONTH(A236,0)+1</f>
        <v>39539</v>
      </c>
      <c r="B235" s="33"/>
      <c r="C235" s="78">
        <v>6.6</v>
      </c>
      <c r="D235" s="79">
        <v>6.7</v>
      </c>
      <c r="E235" s="79">
        <v>6.7</v>
      </c>
      <c r="F235" s="80">
        <v>20.1</v>
      </c>
      <c r="G235" s="80">
        <v>22.8</v>
      </c>
      <c r="H235" s="80">
        <v>10.5</v>
      </c>
      <c r="I235" s="259"/>
      <c r="J235" s="316">
        <v>2.73</v>
      </c>
      <c r="K235" s="317">
        <v>3.6</v>
      </c>
      <c r="L235" s="318">
        <v>3.07</v>
      </c>
      <c r="M235" s="81">
        <v>107</v>
      </c>
      <c r="N235" s="215">
        <v>107</v>
      </c>
      <c r="O235" s="158">
        <v>209</v>
      </c>
      <c r="P235" s="215">
        <v>248</v>
      </c>
      <c r="Q235" s="215">
        <v>189</v>
      </c>
      <c r="R235" s="215">
        <v>65</v>
      </c>
      <c r="S235" s="215">
        <v>30</v>
      </c>
      <c r="T235" s="404">
        <v>8.66</v>
      </c>
    </row>
    <row r="236" spans="1:20" ht="12" customHeight="1" hidden="1">
      <c r="A236" s="86">
        <f>EOMONTH(A237,0)+1</f>
        <v>39508</v>
      </c>
      <c r="B236" s="33"/>
      <c r="C236" s="78">
        <v>6.45</v>
      </c>
      <c r="D236" s="79">
        <v>6.5</v>
      </c>
      <c r="E236" s="79">
        <v>6.55</v>
      </c>
      <c r="F236" s="80">
        <v>21.2</v>
      </c>
      <c r="G236" s="80">
        <v>21.2</v>
      </c>
      <c r="H236" s="80">
        <v>11</v>
      </c>
      <c r="I236" s="259"/>
      <c r="J236" s="316">
        <v>2.65</v>
      </c>
      <c r="K236" s="317">
        <v>3.67</v>
      </c>
      <c r="L236" s="318">
        <v>3.32</v>
      </c>
      <c r="M236" s="81">
        <v>106</v>
      </c>
      <c r="N236" s="215">
        <v>106</v>
      </c>
      <c r="O236" s="158">
        <v>208</v>
      </c>
      <c r="P236" s="215">
        <v>239</v>
      </c>
      <c r="Q236" s="215">
        <v>192</v>
      </c>
      <c r="R236" s="215">
        <v>61</v>
      </c>
      <c r="S236" s="215">
        <v>16</v>
      </c>
      <c r="T236" s="404">
        <v>8.96</v>
      </c>
    </row>
    <row r="237" spans="1:20" ht="12" customHeight="1" hidden="1">
      <c r="A237" s="86">
        <f>EOMONTH(A238,0)+1</f>
        <v>39479</v>
      </c>
      <c r="B237" s="33"/>
      <c r="C237" s="78">
        <v>6.4</v>
      </c>
      <c r="D237" s="79">
        <v>6.55</v>
      </c>
      <c r="E237" s="79">
        <v>6.52</v>
      </c>
      <c r="F237" s="80">
        <v>20.2</v>
      </c>
      <c r="G237" s="80">
        <v>19.5</v>
      </c>
      <c r="H237" s="80">
        <v>9</v>
      </c>
      <c r="I237" s="259"/>
      <c r="J237" s="316">
        <v>2.76</v>
      </c>
      <c r="K237" s="317">
        <v>3.23</v>
      </c>
      <c r="L237" s="318">
        <v>1.13</v>
      </c>
      <c r="M237" s="81">
        <v>106</v>
      </c>
      <c r="N237" s="215">
        <v>105</v>
      </c>
      <c r="O237" s="158">
        <v>207</v>
      </c>
      <c r="P237" s="215">
        <v>248</v>
      </c>
      <c r="Q237" s="215">
        <v>190</v>
      </c>
      <c r="R237" s="215">
        <v>50</v>
      </c>
      <c r="S237" s="215">
        <v>15</v>
      </c>
      <c r="T237" s="404">
        <v>9.29</v>
      </c>
    </row>
    <row r="238" spans="1:20" ht="12" customHeight="1" hidden="1">
      <c r="A238" s="86">
        <f>EOMONTH(A239,0)+1</f>
        <v>39448</v>
      </c>
      <c r="B238" s="33"/>
      <c r="C238" s="78">
        <v>6.52</v>
      </c>
      <c r="D238" s="79">
        <v>6.6</v>
      </c>
      <c r="E238" s="79">
        <v>6.6</v>
      </c>
      <c r="F238" s="80">
        <v>19.7</v>
      </c>
      <c r="G238" s="80">
        <v>17.1</v>
      </c>
      <c r="H238" s="80">
        <v>8.3</v>
      </c>
      <c r="I238" s="259"/>
      <c r="J238" s="316">
        <v>3.18</v>
      </c>
      <c r="K238" s="317">
        <v>3.91</v>
      </c>
      <c r="L238" s="318">
        <v>1.95</v>
      </c>
      <c r="M238" s="81">
        <v>106</v>
      </c>
      <c r="N238" s="215">
        <v>106</v>
      </c>
      <c r="O238" s="158">
        <v>210</v>
      </c>
      <c r="P238" s="215">
        <v>231</v>
      </c>
      <c r="Q238" s="215">
        <v>171</v>
      </c>
      <c r="R238" s="215">
        <v>35</v>
      </c>
      <c r="S238" s="215">
        <v>21</v>
      </c>
      <c r="T238" s="404">
        <v>9.15</v>
      </c>
    </row>
    <row r="239" spans="1:20" ht="12" customHeight="1" hidden="1">
      <c r="A239" s="86">
        <f>EOMONTH(A240,0)+1</f>
        <v>39417</v>
      </c>
      <c r="B239" s="33"/>
      <c r="C239" s="78">
        <v>6.4</v>
      </c>
      <c r="D239" s="79">
        <v>6.45</v>
      </c>
      <c r="E239" s="79">
        <v>6.45</v>
      </c>
      <c r="F239" s="80">
        <v>19</v>
      </c>
      <c r="G239" s="80">
        <v>17.8</v>
      </c>
      <c r="H239" s="80">
        <v>8.1</v>
      </c>
      <c r="I239" s="259"/>
      <c r="J239" s="316">
        <v>2.39</v>
      </c>
      <c r="K239" s="317">
        <v>3.43</v>
      </c>
      <c r="L239" s="318">
        <v>0.64</v>
      </c>
      <c r="M239" s="81">
        <v>105</v>
      </c>
      <c r="N239" s="215">
        <v>105</v>
      </c>
      <c r="O239" s="158">
        <v>206</v>
      </c>
      <c r="P239" s="215">
        <v>238</v>
      </c>
      <c r="Q239" s="215">
        <v>198</v>
      </c>
      <c r="R239" s="215">
        <v>38</v>
      </c>
      <c r="S239" s="215">
        <v>22</v>
      </c>
      <c r="T239" s="404">
        <v>8.26</v>
      </c>
    </row>
    <row r="240" spans="1:20" ht="12" customHeight="1" hidden="1">
      <c r="A240" s="86">
        <f>EOMONTH(A241,0)+1</f>
        <v>39387</v>
      </c>
      <c r="B240" s="33"/>
      <c r="C240" s="78">
        <v>6.4</v>
      </c>
      <c r="D240" s="79">
        <v>6.55</v>
      </c>
      <c r="E240" s="79">
        <v>6.55</v>
      </c>
      <c r="F240" s="80">
        <v>22</v>
      </c>
      <c r="G240" s="80">
        <v>22</v>
      </c>
      <c r="H240" s="80">
        <v>9.8</v>
      </c>
      <c r="I240" s="259"/>
      <c r="J240" s="316">
        <v>3.07</v>
      </c>
      <c r="K240" s="317">
        <v>4</v>
      </c>
      <c r="L240" s="318">
        <v>0.92</v>
      </c>
      <c r="M240" s="81">
        <v>108</v>
      </c>
      <c r="N240" s="215">
        <v>108</v>
      </c>
      <c r="O240" s="158">
        <v>210</v>
      </c>
      <c r="P240" s="215">
        <v>240</v>
      </c>
      <c r="Q240" s="215">
        <v>200</v>
      </c>
      <c r="R240" s="215">
        <v>48</v>
      </c>
      <c r="S240" s="215">
        <v>30</v>
      </c>
      <c r="T240" s="404">
        <v>8.62</v>
      </c>
    </row>
    <row r="241" spans="1:20" ht="12" customHeight="1" hidden="1">
      <c r="A241" s="86">
        <v>39356</v>
      </c>
      <c r="B241" s="33"/>
      <c r="C241" s="78">
        <v>6.5</v>
      </c>
      <c r="D241" s="79">
        <v>6.6</v>
      </c>
      <c r="E241" s="79">
        <v>6.6</v>
      </c>
      <c r="F241" s="80">
        <v>13</v>
      </c>
      <c r="G241" s="80">
        <v>12</v>
      </c>
      <c r="H241" s="80">
        <v>8</v>
      </c>
      <c r="I241" s="259"/>
      <c r="J241" s="316">
        <v>2</v>
      </c>
      <c r="K241" s="317">
        <v>2.86</v>
      </c>
      <c r="L241" s="318">
        <v>2.3</v>
      </c>
      <c r="M241" s="81">
        <v>108</v>
      </c>
      <c r="N241" s="215">
        <v>108</v>
      </c>
      <c r="O241" s="158">
        <v>212</v>
      </c>
      <c r="P241" s="215">
        <v>141</v>
      </c>
      <c r="Q241" s="215">
        <v>143</v>
      </c>
      <c r="R241" s="215" t="s">
        <v>211</v>
      </c>
      <c r="S241" s="215">
        <v>30</v>
      </c>
      <c r="T241" s="404">
        <v>8.1</v>
      </c>
    </row>
    <row r="242" spans="1:20" ht="12" customHeight="1" hidden="1">
      <c r="A242" s="86">
        <f>EOMONTH(A243,0)+1</f>
        <v>39295</v>
      </c>
      <c r="B242" s="33"/>
      <c r="C242" s="78">
        <v>6.3</v>
      </c>
      <c r="D242" s="79">
        <v>6.4</v>
      </c>
      <c r="E242" s="79">
        <v>6.4</v>
      </c>
      <c r="F242" s="80">
        <v>28</v>
      </c>
      <c r="G242" s="80">
        <v>27</v>
      </c>
      <c r="H242" s="80">
        <v>9</v>
      </c>
      <c r="I242" s="259"/>
      <c r="J242" s="316">
        <v>3.42</v>
      </c>
      <c r="K242" s="317">
        <v>2.59</v>
      </c>
      <c r="L242" s="318">
        <v>0.75</v>
      </c>
      <c r="M242" s="373" t="s">
        <v>222</v>
      </c>
      <c r="N242" s="374"/>
      <c r="O242" s="375"/>
      <c r="P242" s="362">
        <v>451</v>
      </c>
      <c r="Q242" s="362"/>
      <c r="R242" s="362"/>
      <c r="S242" s="362">
        <v>51</v>
      </c>
      <c r="T242" s="368">
        <v>41.7</v>
      </c>
    </row>
    <row r="243" spans="1:20" ht="12" customHeight="1" hidden="1">
      <c r="A243" s="86">
        <f>EOMONTH(A244,0)+1</f>
        <v>39264</v>
      </c>
      <c r="B243" s="33"/>
      <c r="C243" s="78">
        <v>6.49</v>
      </c>
      <c r="D243" s="79">
        <v>6.53</v>
      </c>
      <c r="E243" s="79">
        <v>6.53</v>
      </c>
      <c r="F243" s="80">
        <v>27</v>
      </c>
      <c r="G243" s="80">
        <v>25</v>
      </c>
      <c r="H243" s="80">
        <v>7</v>
      </c>
      <c r="I243" s="259"/>
      <c r="J243" s="316">
        <v>3</v>
      </c>
      <c r="K243" s="317">
        <v>2.88</v>
      </c>
      <c r="L243" s="318">
        <v>1.61</v>
      </c>
      <c r="M243" s="361"/>
      <c r="N243" s="362"/>
      <c r="O243" s="363"/>
      <c r="P243" s="362">
        <v>355</v>
      </c>
      <c r="Q243" s="362"/>
      <c r="R243" s="362"/>
      <c r="S243" s="362">
        <v>34</v>
      </c>
      <c r="T243" s="368">
        <v>46.7</v>
      </c>
    </row>
    <row r="244" spans="1:20" ht="12" customHeight="1" hidden="1">
      <c r="A244" s="86">
        <v>39234</v>
      </c>
      <c r="B244" s="33"/>
      <c r="C244" s="78">
        <v>6.45</v>
      </c>
      <c r="D244" s="79">
        <v>6.5</v>
      </c>
      <c r="E244" s="79">
        <v>6.58</v>
      </c>
      <c r="F244" s="80">
        <v>26</v>
      </c>
      <c r="G244" s="80">
        <v>23</v>
      </c>
      <c r="H244" s="80">
        <v>6</v>
      </c>
      <c r="I244" s="259"/>
      <c r="J244" s="316">
        <v>3.15</v>
      </c>
      <c r="K244" s="317">
        <v>3.2</v>
      </c>
      <c r="L244" s="318">
        <v>2.1</v>
      </c>
      <c r="M244" s="361"/>
      <c r="N244" s="362"/>
      <c r="O244" s="363"/>
      <c r="P244" s="362">
        <v>253</v>
      </c>
      <c r="Q244" s="362"/>
      <c r="R244" s="362"/>
      <c r="S244" s="362">
        <v>31</v>
      </c>
      <c r="T244" s="368">
        <v>44.6</v>
      </c>
    </row>
    <row r="245" spans="1:20" s="266" customFormat="1" ht="19.5" customHeight="1">
      <c r="A245" s="263"/>
      <c r="B245" s="263"/>
      <c r="C245" s="263"/>
      <c r="D245" s="263"/>
      <c r="E245" s="263"/>
      <c r="F245" s="263"/>
      <c r="G245" s="263"/>
      <c r="H245" s="263"/>
      <c r="I245" s="263"/>
      <c r="J245" s="263"/>
      <c r="K245" s="263"/>
      <c r="L245" s="264"/>
      <c r="M245" s="263"/>
      <c r="N245" s="263"/>
      <c r="O245" s="263"/>
      <c r="P245" s="264"/>
      <c r="Q245" s="264"/>
      <c r="R245" s="265"/>
      <c r="S245" s="265"/>
      <c r="T245" s="574" t="s">
        <v>353</v>
      </c>
    </row>
    <row r="246" spans="1:20" ht="15.75" customHeight="1">
      <c r="A246" s="28"/>
      <c r="B246" s="29"/>
      <c r="C246" s="2" t="s">
        <v>221</v>
      </c>
      <c r="D246" s="3"/>
      <c r="E246" s="3"/>
      <c r="F246" s="3"/>
      <c r="G246" s="3"/>
      <c r="H246" s="3"/>
      <c r="I246" s="3"/>
      <c r="J246" s="3"/>
      <c r="K246" s="2" t="s">
        <v>258</v>
      </c>
      <c r="L246" s="3"/>
      <c r="M246" s="3"/>
      <c r="N246" s="3"/>
      <c r="O246" s="3"/>
      <c r="P246" s="4"/>
      <c r="Q246" s="3"/>
      <c r="R246" s="4"/>
      <c r="S246" s="307" t="s">
        <v>231</v>
      </c>
      <c r="T246" s="4"/>
    </row>
    <row r="247" spans="1:20" ht="15.75" customHeight="1">
      <c r="A247" s="22" t="s">
        <v>24</v>
      </c>
      <c r="B247" s="13"/>
      <c r="C247" s="159" t="s">
        <v>123</v>
      </c>
      <c r="D247" s="208"/>
      <c r="E247" s="7"/>
      <c r="F247" s="6" t="s">
        <v>37</v>
      </c>
      <c r="G247" s="208"/>
      <c r="H247" s="7"/>
      <c r="I247" s="25" t="s">
        <v>20</v>
      </c>
      <c r="J247" s="25" t="s">
        <v>192</v>
      </c>
      <c r="K247" s="159" t="s">
        <v>123</v>
      </c>
      <c r="L247" s="208"/>
      <c r="M247" s="7"/>
      <c r="N247" s="6" t="s">
        <v>37</v>
      </c>
      <c r="O247" s="208"/>
      <c r="P247" s="7"/>
      <c r="Q247" s="25" t="s">
        <v>20</v>
      </c>
      <c r="R247" s="8" t="s">
        <v>192</v>
      </c>
      <c r="S247" s="357" t="s">
        <v>218</v>
      </c>
      <c r="T247" s="72"/>
    </row>
    <row r="248" spans="1:24" ht="15.75" customHeight="1">
      <c r="A248" s="30"/>
      <c r="B248" s="31"/>
      <c r="C248" s="330" t="s">
        <v>39</v>
      </c>
      <c r="D248" s="331" t="s">
        <v>40</v>
      </c>
      <c r="E248" s="331" t="s">
        <v>41</v>
      </c>
      <c r="F248" s="331" t="s">
        <v>42</v>
      </c>
      <c r="G248" s="331" t="s">
        <v>43</v>
      </c>
      <c r="H248" s="331" t="s">
        <v>44</v>
      </c>
      <c r="I248" s="325" t="s">
        <v>46</v>
      </c>
      <c r="J248" s="325" t="s">
        <v>193</v>
      </c>
      <c r="K248" s="330" t="s">
        <v>230</v>
      </c>
      <c r="L248" s="331" t="s">
        <v>228</v>
      </c>
      <c r="M248" s="332" t="s">
        <v>147</v>
      </c>
      <c r="N248" s="331" t="s">
        <v>42</v>
      </c>
      <c r="O248" s="331" t="s">
        <v>43</v>
      </c>
      <c r="P248" s="379" t="s">
        <v>148</v>
      </c>
      <c r="Q248" s="325" t="s">
        <v>46</v>
      </c>
      <c r="R248" s="322" t="s">
        <v>193</v>
      </c>
      <c r="S248" s="324" t="s">
        <v>219</v>
      </c>
      <c r="T248" s="360" t="s">
        <v>220</v>
      </c>
      <c r="W248" s="333"/>
      <c r="X248" s="333"/>
    </row>
    <row r="249" spans="1:20" ht="12" customHeight="1">
      <c r="A249" s="86">
        <f>EOMONTH(A250,0)+1</f>
        <v>41426</v>
      </c>
      <c r="B249" s="33"/>
      <c r="C249" s="81"/>
      <c r="D249" s="215"/>
      <c r="E249" s="158"/>
      <c r="F249" s="215"/>
      <c r="G249" s="215"/>
      <c r="H249" s="215"/>
      <c r="I249" s="269"/>
      <c r="J249" s="365"/>
      <c r="K249" s="81"/>
      <c r="L249" s="215"/>
      <c r="M249" s="158"/>
      <c r="N249" s="215"/>
      <c r="O249" s="215"/>
      <c r="P249" s="215"/>
      <c r="Q249" s="215"/>
      <c r="R249" s="364"/>
      <c r="S249" s="306"/>
      <c r="T249" s="305"/>
    </row>
    <row r="250" spans="1:20" ht="12" customHeight="1">
      <c r="A250" s="86">
        <f>EOMONTH(A251,0)+1</f>
        <v>41395</v>
      </c>
      <c r="B250" s="33"/>
      <c r="C250" s="81">
        <v>212</v>
      </c>
      <c r="D250" s="215">
        <v>211</v>
      </c>
      <c r="E250" s="158">
        <v>214</v>
      </c>
      <c r="F250" s="215">
        <v>7</v>
      </c>
      <c r="G250" s="215">
        <v>18</v>
      </c>
      <c r="H250" s="215">
        <v>13</v>
      </c>
      <c r="I250" s="269">
        <v>28</v>
      </c>
      <c r="J250" s="365">
        <v>23.4</v>
      </c>
      <c r="K250" s="81">
        <v>107</v>
      </c>
      <c r="L250" s="215">
        <v>106</v>
      </c>
      <c r="M250" s="158">
        <v>209</v>
      </c>
      <c r="N250" s="215">
        <v>256</v>
      </c>
      <c r="O250" s="215">
        <v>267</v>
      </c>
      <c r="P250" s="215">
        <v>24</v>
      </c>
      <c r="Q250" s="215">
        <v>25</v>
      </c>
      <c r="R250" s="364">
        <v>28.8</v>
      </c>
      <c r="S250" s="306">
        <v>27</v>
      </c>
      <c r="T250" s="305">
        <v>36</v>
      </c>
    </row>
    <row r="251" spans="1:20" ht="12" customHeight="1">
      <c r="A251" s="86">
        <f>EOMONTH(A252,0)+1</f>
        <v>41365</v>
      </c>
      <c r="B251" s="33"/>
      <c r="C251" s="81">
        <v>210</v>
      </c>
      <c r="D251" s="215">
        <v>210</v>
      </c>
      <c r="E251" s="158">
        <v>212</v>
      </c>
      <c r="F251" s="215">
        <v>17</v>
      </c>
      <c r="G251" s="215">
        <v>18</v>
      </c>
      <c r="H251" s="215">
        <v>14</v>
      </c>
      <c r="I251" s="269">
        <v>27</v>
      </c>
      <c r="J251" s="365">
        <v>23</v>
      </c>
      <c r="K251" s="81">
        <v>104</v>
      </c>
      <c r="L251" s="215">
        <v>104</v>
      </c>
      <c r="M251" s="158">
        <v>208</v>
      </c>
      <c r="N251" s="215">
        <v>255</v>
      </c>
      <c r="O251" s="215">
        <v>248</v>
      </c>
      <c r="P251" s="215">
        <v>24</v>
      </c>
      <c r="Q251" s="215">
        <v>25</v>
      </c>
      <c r="R251" s="364">
        <v>26.9</v>
      </c>
      <c r="S251" s="306">
        <v>26</v>
      </c>
      <c r="T251" s="305">
        <v>37</v>
      </c>
    </row>
    <row r="252" spans="1:20" ht="12" customHeight="1">
      <c r="A252" s="86">
        <f>EOMONTH(A253,0)+1</f>
        <v>41334</v>
      </c>
      <c r="B252" s="33"/>
      <c r="C252" s="81">
        <v>210</v>
      </c>
      <c r="D252" s="215">
        <v>211</v>
      </c>
      <c r="E252" s="158">
        <v>212</v>
      </c>
      <c r="F252" s="215">
        <v>19</v>
      </c>
      <c r="G252" s="215">
        <v>20</v>
      </c>
      <c r="H252" s="215">
        <v>15</v>
      </c>
      <c r="I252" s="269">
        <v>25</v>
      </c>
      <c r="J252" s="365">
        <v>23.6</v>
      </c>
      <c r="K252" s="81">
        <v>105</v>
      </c>
      <c r="L252" s="215">
        <v>105</v>
      </c>
      <c r="M252" s="158">
        <v>208</v>
      </c>
      <c r="N252" s="215">
        <v>247</v>
      </c>
      <c r="O252" s="215">
        <v>232</v>
      </c>
      <c r="P252" s="215">
        <v>28</v>
      </c>
      <c r="Q252" s="215">
        <v>23</v>
      </c>
      <c r="R252" s="364">
        <v>26.8</v>
      </c>
      <c r="S252" s="306">
        <v>25</v>
      </c>
      <c r="T252" s="305">
        <v>36</v>
      </c>
    </row>
    <row r="253" spans="1:20" ht="12" customHeight="1">
      <c r="A253" s="86">
        <f>EOMONTH(A254,0)+1</f>
        <v>41306</v>
      </c>
      <c r="B253" s="33"/>
      <c r="C253" s="81">
        <v>209</v>
      </c>
      <c r="D253" s="215">
        <v>209</v>
      </c>
      <c r="E253" s="158">
        <v>211</v>
      </c>
      <c r="F253" s="215">
        <v>60</v>
      </c>
      <c r="G253" s="215">
        <v>54</v>
      </c>
      <c r="H253" s="215">
        <v>50</v>
      </c>
      <c r="I253" s="269">
        <v>15</v>
      </c>
      <c r="J253" s="365">
        <v>26.2</v>
      </c>
      <c r="K253" s="81">
        <v>103</v>
      </c>
      <c r="L253" s="215">
        <v>103</v>
      </c>
      <c r="M253" s="158">
        <v>208</v>
      </c>
      <c r="N253" s="215">
        <v>248</v>
      </c>
      <c r="O253" s="215">
        <v>247</v>
      </c>
      <c r="P253" s="215">
        <v>23</v>
      </c>
      <c r="Q253" s="215">
        <v>12</v>
      </c>
      <c r="R253" s="364">
        <v>26.7</v>
      </c>
      <c r="S253" s="306">
        <v>14</v>
      </c>
      <c r="T253" s="305">
        <v>21</v>
      </c>
    </row>
    <row r="254" spans="1:20" ht="12" customHeight="1">
      <c r="A254" s="86">
        <f>EOMONTH(A255,0)+1</f>
        <v>41275</v>
      </c>
      <c r="B254" s="33"/>
      <c r="C254" s="81">
        <v>211</v>
      </c>
      <c r="D254" s="215">
        <v>212</v>
      </c>
      <c r="E254" s="158">
        <v>214</v>
      </c>
      <c r="F254" s="215">
        <v>50</v>
      </c>
      <c r="G254" s="215">
        <v>45</v>
      </c>
      <c r="H254" s="215">
        <v>46</v>
      </c>
      <c r="I254" s="269">
        <v>15</v>
      </c>
      <c r="J254" s="365">
        <v>24.4</v>
      </c>
      <c r="K254" s="81">
        <v>106</v>
      </c>
      <c r="L254" s="215">
        <v>105</v>
      </c>
      <c r="M254" s="158">
        <v>210</v>
      </c>
      <c r="N254" s="215">
        <v>258</v>
      </c>
      <c r="O254" s="215">
        <v>241</v>
      </c>
      <c r="P254" s="215">
        <v>28</v>
      </c>
      <c r="Q254" s="215">
        <v>13</v>
      </c>
      <c r="R254" s="364">
        <v>27.7</v>
      </c>
      <c r="S254" s="306">
        <v>17</v>
      </c>
      <c r="T254" s="305">
        <v>24</v>
      </c>
    </row>
    <row r="255" spans="1:20" ht="12" customHeight="1">
      <c r="A255" s="86">
        <f>EOMONTH(A256,0)+1</f>
        <v>41244</v>
      </c>
      <c r="B255" s="33"/>
      <c r="C255" s="81">
        <v>210</v>
      </c>
      <c r="D255" s="215">
        <v>210</v>
      </c>
      <c r="E255" s="158">
        <v>212</v>
      </c>
      <c r="F255" s="215">
        <v>92</v>
      </c>
      <c r="G255" s="215">
        <v>113</v>
      </c>
      <c r="H255" s="215">
        <v>92</v>
      </c>
      <c r="I255" s="269">
        <v>18</v>
      </c>
      <c r="J255" s="365">
        <v>28.3</v>
      </c>
      <c r="K255" s="81">
        <v>105</v>
      </c>
      <c r="L255" s="215">
        <v>103</v>
      </c>
      <c r="M255" s="158">
        <v>209</v>
      </c>
      <c r="N255" s="215">
        <v>256</v>
      </c>
      <c r="O255" s="215">
        <v>256</v>
      </c>
      <c r="P255" s="215">
        <v>24</v>
      </c>
      <c r="Q255" s="215">
        <v>15</v>
      </c>
      <c r="R255" s="364">
        <v>27.7</v>
      </c>
      <c r="S255" s="306">
        <v>15</v>
      </c>
      <c r="T255" s="305">
        <v>25</v>
      </c>
    </row>
    <row r="256" spans="1:20" ht="12" customHeight="1">
      <c r="A256" s="86">
        <f>EOMONTH(A257,0)+1</f>
        <v>41214</v>
      </c>
      <c r="B256" s="33"/>
      <c r="C256" s="81">
        <v>212</v>
      </c>
      <c r="D256" s="215">
        <v>212</v>
      </c>
      <c r="E256" s="158">
        <v>215</v>
      </c>
      <c r="F256" s="215">
        <v>17</v>
      </c>
      <c r="G256" s="215">
        <v>18</v>
      </c>
      <c r="H256" s="215">
        <v>14</v>
      </c>
      <c r="I256" s="269">
        <v>30</v>
      </c>
      <c r="J256" s="365">
        <v>24.1</v>
      </c>
      <c r="K256" s="81">
        <v>107</v>
      </c>
      <c r="L256" s="215">
        <v>106</v>
      </c>
      <c r="M256" s="158">
        <v>210</v>
      </c>
      <c r="N256" s="215">
        <v>258</v>
      </c>
      <c r="O256" s="215">
        <v>244</v>
      </c>
      <c r="P256" s="215">
        <v>28</v>
      </c>
      <c r="Q256" s="215">
        <v>26</v>
      </c>
      <c r="R256" s="364">
        <v>24</v>
      </c>
      <c r="S256" s="306">
        <v>27</v>
      </c>
      <c r="T256" s="305">
        <v>39</v>
      </c>
    </row>
    <row r="257" spans="1:20" ht="12" customHeight="1">
      <c r="A257" s="86">
        <f>EOMONTH(A258,0)+1</f>
        <v>41183</v>
      </c>
      <c r="B257" s="33"/>
      <c r="C257" s="81">
        <v>212</v>
      </c>
      <c r="D257" s="215">
        <v>212</v>
      </c>
      <c r="E257" s="158">
        <v>213</v>
      </c>
      <c r="F257" s="215">
        <v>133</v>
      </c>
      <c r="G257" s="215">
        <v>148</v>
      </c>
      <c r="H257" s="215">
        <v>128</v>
      </c>
      <c r="I257" s="269">
        <v>40</v>
      </c>
      <c r="J257" s="365">
        <v>24.7</v>
      </c>
      <c r="K257" s="81">
        <v>107</v>
      </c>
      <c r="L257" s="215">
        <v>107</v>
      </c>
      <c r="M257" s="158">
        <v>210</v>
      </c>
      <c r="N257" s="215">
        <v>239</v>
      </c>
      <c r="O257" s="215">
        <v>208</v>
      </c>
      <c r="P257" s="215">
        <v>41</v>
      </c>
      <c r="Q257" s="215">
        <v>35</v>
      </c>
      <c r="R257" s="364">
        <v>24.5</v>
      </c>
      <c r="S257" s="306">
        <v>34</v>
      </c>
      <c r="T257" s="305">
        <v>48</v>
      </c>
    </row>
    <row r="258" spans="1:20" ht="12" customHeight="1">
      <c r="A258" s="86">
        <f>EOMONTH(A259,0)+1</f>
        <v>41153</v>
      </c>
      <c r="B258" s="33"/>
      <c r="C258" s="81">
        <v>210</v>
      </c>
      <c r="D258" s="215">
        <v>210</v>
      </c>
      <c r="E258" s="158">
        <v>212</v>
      </c>
      <c r="F258" s="215">
        <v>210</v>
      </c>
      <c r="G258" s="215">
        <v>225</v>
      </c>
      <c r="H258" s="215">
        <v>200</v>
      </c>
      <c r="I258" s="269">
        <v>43</v>
      </c>
      <c r="J258" s="365">
        <v>26.3</v>
      </c>
      <c r="K258" s="81">
        <v>107</v>
      </c>
      <c r="L258" s="215">
        <v>107</v>
      </c>
      <c r="M258" s="158">
        <v>210</v>
      </c>
      <c r="N258" s="215">
        <v>237</v>
      </c>
      <c r="O258" s="215">
        <v>215</v>
      </c>
      <c r="P258" s="215">
        <v>34</v>
      </c>
      <c r="Q258" s="215">
        <v>38</v>
      </c>
      <c r="R258" s="364">
        <v>25.5</v>
      </c>
      <c r="S258" s="306">
        <v>37</v>
      </c>
      <c r="T258" s="305">
        <v>49</v>
      </c>
    </row>
    <row r="259" spans="1:20" ht="12" customHeight="1">
      <c r="A259" s="86">
        <f>EOMONTH(A260,0)+1</f>
        <v>41122</v>
      </c>
      <c r="B259" s="33"/>
      <c r="C259" s="81">
        <v>211</v>
      </c>
      <c r="D259" s="215">
        <v>210</v>
      </c>
      <c r="E259" s="158">
        <v>209</v>
      </c>
      <c r="F259" s="215">
        <v>141</v>
      </c>
      <c r="G259" s="215">
        <v>159</v>
      </c>
      <c r="H259" s="215">
        <v>129</v>
      </c>
      <c r="I259" s="269">
        <v>50</v>
      </c>
      <c r="J259" s="365">
        <v>25.7</v>
      </c>
      <c r="K259" s="81">
        <v>106</v>
      </c>
      <c r="L259" s="215">
        <v>106</v>
      </c>
      <c r="M259" s="158">
        <v>208</v>
      </c>
      <c r="N259" s="215">
        <v>242</v>
      </c>
      <c r="O259" s="215">
        <v>226</v>
      </c>
      <c r="P259" s="215">
        <v>31</v>
      </c>
      <c r="Q259" s="215">
        <v>44</v>
      </c>
      <c r="R259" s="364">
        <v>24.3</v>
      </c>
      <c r="S259" s="306">
        <v>42</v>
      </c>
      <c r="T259" s="305">
        <v>55</v>
      </c>
    </row>
    <row r="260" spans="1:20" ht="12" customHeight="1">
      <c r="A260" s="86">
        <f>EOMONTH(A261,0)+1</f>
        <v>41091</v>
      </c>
      <c r="B260" s="33"/>
      <c r="C260" s="81">
        <v>207</v>
      </c>
      <c r="D260" s="215">
        <v>208</v>
      </c>
      <c r="E260" s="158">
        <v>210</v>
      </c>
      <c r="F260" s="215">
        <v>210</v>
      </c>
      <c r="G260" s="215">
        <v>227</v>
      </c>
      <c r="H260" s="215">
        <v>193</v>
      </c>
      <c r="I260" s="269">
        <v>46</v>
      </c>
      <c r="J260" s="365">
        <v>25.1</v>
      </c>
      <c r="K260" s="81">
        <v>104</v>
      </c>
      <c r="L260" s="215">
        <v>104</v>
      </c>
      <c r="M260" s="158">
        <v>207</v>
      </c>
      <c r="N260" s="215">
        <v>243</v>
      </c>
      <c r="O260" s="215">
        <v>249</v>
      </c>
      <c r="P260" s="215">
        <v>27</v>
      </c>
      <c r="Q260" s="215">
        <v>41</v>
      </c>
      <c r="R260" s="364">
        <v>25.5</v>
      </c>
      <c r="S260" s="306">
        <v>40</v>
      </c>
      <c r="T260" s="305">
        <v>52</v>
      </c>
    </row>
    <row r="261" spans="1:20" ht="12" customHeight="1">
      <c r="A261" s="86">
        <f>EOMONTH(A262,0)+1</f>
        <v>41061</v>
      </c>
      <c r="B261" s="33"/>
      <c r="C261" s="81">
        <v>212</v>
      </c>
      <c r="D261" s="215">
        <v>212</v>
      </c>
      <c r="E261" s="158">
        <v>214</v>
      </c>
      <c r="F261" s="215">
        <v>21</v>
      </c>
      <c r="G261" s="215">
        <v>21</v>
      </c>
      <c r="H261" s="215">
        <v>16</v>
      </c>
      <c r="I261" s="269">
        <v>40</v>
      </c>
      <c r="J261" s="365">
        <v>22.2</v>
      </c>
      <c r="K261" s="81">
        <v>106</v>
      </c>
      <c r="L261" s="215">
        <v>106</v>
      </c>
      <c r="M261" s="158">
        <v>208</v>
      </c>
      <c r="N261" s="215">
        <v>238</v>
      </c>
      <c r="O261" s="215">
        <v>238</v>
      </c>
      <c r="P261" s="215">
        <v>27</v>
      </c>
      <c r="Q261" s="215">
        <v>35</v>
      </c>
      <c r="R261" s="364">
        <v>25.5</v>
      </c>
      <c r="S261" s="306">
        <v>36</v>
      </c>
      <c r="T261" s="305">
        <v>49</v>
      </c>
    </row>
    <row r="262" spans="1:20" ht="12" customHeight="1" hidden="1">
      <c r="A262" s="86">
        <f>EOMONTH(A263,0)+1</f>
        <v>41030</v>
      </c>
      <c r="B262" s="33"/>
      <c r="C262" s="81">
        <v>211</v>
      </c>
      <c r="D262" s="215">
        <v>211</v>
      </c>
      <c r="E262" s="158">
        <v>213</v>
      </c>
      <c r="F262" s="215">
        <v>74</v>
      </c>
      <c r="G262" s="215">
        <v>78</v>
      </c>
      <c r="H262" s="215">
        <v>63</v>
      </c>
      <c r="I262" s="269">
        <v>36</v>
      </c>
      <c r="J262" s="365">
        <v>22.7</v>
      </c>
      <c r="K262" s="81">
        <v>105</v>
      </c>
      <c r="L262" s="215">
        <v>105</v>
      </c>
      <c r="M262" s="158">
        <v>209</v>
      </c>
      <c r="N262" s="215">
        <v>228</v>
      </c>
      <c r="O262" s="215">
        <v>257</v>
      </c>
      <c r="P262" s="215">
        <v>30</v>
      </c>
      <c r="Q262" s="215">
        <v>33</v>
      </c>
      <c r="R262" s="364">
        <v>25.7</v>
      </c>
      <c r="S262" s="306">
        <v>35</v>
      </c>
      <c r="T262" s="305">
        <v>48</v>
      </c>
    </row>
    <row r="263" spans="1:20" ht="12" customHeight="1" hidden="1">
      <c r="A263" s="86">
        <f>EOMONTH(A264,0)+1</f>
        <v>41000</v>
      </c>
      <c r="B263" s="33"/>
      <c r="C263" s="81">
        <v>209</v>
      </c>
      <c r="D263" s="215">
        <v>209</v>
      </c>
      <c r="E263" s="158">
        <v>212</v>
      </c>
      <c r="F263" s="215">
        <v>20</v>
      </c>
      <c r="G263" s="215">
        <v>19</v>
      </c>
      <c r="H263" s="215">
        <v>16</v>
      </c>
      <c r="I263" s="269">
        <v>23</v>
      </c>
      <c r="J263" s="365">
        <v>23</v>
      </c>
      <c r="K263" s="81">
        <v>104</v>
      </c>
      <c r="L263" s="215">
        <v>103</v>
      </c>
      <c r="M263" s="158">
        <v>207</v>
      </c>
      <c r="N263" s="215">
        <v>250</v>
      </c>
      <c r="O263" s="215">
        <v>287</v>
      </c>
      <c r="P263" s="215">
        <v>39</v>
      </c>
      <c r="Q263" s="215">
        <v>22.5</v>
      </c>
      <c r="R263" s="364">
        <v>25.7</v>
      </c>
      <c r="S263" s="306">
        <v>27</v>
      </c>
      <c r="T263" s="305">
        <v>37</v>
      </c>
    </row>
    <row r="264" spans="1:20" ht="12" customHeight="1" hidden="1">
      <c r="A264" s="86">
        <f>EOMONTH(A265,0)+1</f>
        <v>40969</v>
      </c>
      <c r="B264" s="33"/>
      <c r="C264" s="81">
        <v>210</v>
      </c>
      <c r="D264" s="215">
        <v>210</v>
      </c>
      <c r="E264" s="158">
        <v>212</v>
      </c>
      <c r="F264" s="215">
        <v>18</v>
      </c>
      <c r="G264" s="215">
        <v>18</v>
      </c>
      <c r="H264" s="215">
        <v>14</v>
      </c>
      <c r="I264" s="269">
        <v>24</v>
      </c>
      <c r="J264" s="365">
        <v>22.7</v>
      </c>
      <c r="K264" s="81">
        <v>103</v>
      </c>
      <c r="L264" s="215">
        <v>103</v>
      </c>
      <c r="M264" s="158">
        <v>208</v>
      </c>
      <c r="N264" s="215">
        <v>256</v>
      </c>
      <c r="O264" s="215">
        <v>300</v>
      </c>
      <c r="P264" s="215">
        <v>40</v>
      </c>
      <c r="Q264" s="215">
        <v>21</v>
      </c>
      <c r="R264" s="364">
        <v>26.3</v>
      </c>
      <c r="S264" s="306">
        <v>27</v>
      </c>
      <c r="T264" s="305">
        <v>37</v>
      </c>
    </row>
    <row r="265" spans="1:20" ht="12" customHeight="1" hidden="1">
      <c r="A265" s="86">
        <f>EOMONTH(A266,0)+1</f>
        <v>40940</v>
      </c>
      <c r="B265" s="33"/>
      <c r="C265" s="81">
        <v>211</v>
      </c>
      <c r="D265" s="215">
        <v>210</v>
      </c>
      <c r="E265" s="158">
        <v>212</v>
      </c>
      <c r="F265" s="215">
        <v>231</v>
      </c>
      <c r="G265" s="215">
        <v>251</v>
      </c>
      <c r="H265" s="215">
        <v>222</v>
      </c>
      <c r="I265" s="269">
        <v>20</v>
      </c>
      <c r="J265" s="365">
        <v>26.7</v>
      </c>
      <c r="K265" s="81">
        <v>105</v>
      </c>
      <c r="L265" s="215">
        <v>105</v>
      </c>
      <c r="M265" s="158">
        <v>210</v>
      </c>
      <c r="N265" s="215">
        <v>250</v>
      </c>
      <c r="O265" s="215">
        <v>283</v>
      </c>
      <c r="P265" s="215">
        <v>34</v>
      </c>
      <c r="Q265" s="215">
        <v>16</v>
      </c>
      <c r="R265" s="364">
        <v>26.3</v>
      </c>
      <c r="S265" s="306">
        <v>28</v>
      </c>
      <c r="T265" s="305">
        <v>38</v>
      </c>
    </row>
    <row r="266" spans="1:20" ht="12" customHeight="1" hidden="1">
      <c r="A266" s="86">
        <f>EOMONTH(A267,0)+1</f>
        <v>40909</v>
      </c>
      <c r="B266" s="33"/>
      <c r="C266" s="81">
        <v>206</v>
      </c>
      <c r="D266" s="215">
        <v>207</v>
      </c>
      <c r="E266" s="158">
        <v>209</v>
      </c>
      <c r="F266" s="215">
        <v>270</v>
      </c>
      <c r="G266" s="215">
        <v>299</v>
      </c>
      <c r="H266" s="215">
        <v>263</v>
      </c>
      <c r="I266" s="269">
        <v>17</v>
      </c>
      <c r="J266" s="365">
        <v>26.8</v>
      </c>
      <c r="K266" s="81">
        <v>102</v>
      </c>
      <c r="L266" s="215">
        <v>102</v>
      </c>
      <c r="M266" s="158">
        <v>206</v>
      </c>
      <c r="N266" s="215">
        <v>253</v>
      </c>
      <c r="O266" s="215">
        <v>305</v>
      </c>
      <c r="P266" s="215">
        <v>48</v>
      </c>
      <c r="Q266" s="215">
        <v>13</v>
      </c>
      <c r="R266" s="364">
        <v>26.4</v>
      </c>
      <c r="S266" s="306">
        <v>12</v>
      </c>
      <c r="T266" s="305">
        <v>24</v>
      </c>
    </row>
    <row r="267" spans="1:20" ht="12" customHeight="1" hidden="1">
      <c r="A267" s="86">
        <f>EOMONTH(A268,0)+1</f>
        <v>40878</v>
      </c>
      <c r="B267" s="33"/>
      <c r="C267" s="81">
        <v>212</v>
      </c>
      <c r="D267" s="215">
        <v>211</v>
      </c>
      <c r="E267" s="158">
        <v>213</v>
      </c>
      <c r="F267" s="215">
        <v>71</v>
      </c>
      <c r="G267" s="215">
        <v>81</v>
      </c>
      <c r="H267" s="215">
        <v>60</v>
      </c>
      <c r="I267" s="269">
        <v>20</v>
      </c>
      <c r="J267" s="365">
        <v>28</v>
      </c>
      <c r="K267" s="81">
        <v>105</v>
      </c>
      <c r="L267" s="215">
        <v>105</v>
      </c>
      <c r="M267" s="158">
        <v>209</v>
      </c>
      <c r="N267" s="215">
        <v>240</v>
      </c>
      <c r="O267" s="215">
        <v>282</v>
      </c>
      <c r="P267" s="215">
        <v>44</v>
      </c>
      <c r="Q267" s="215">
        <v>19</v>
      </c>
      <c r="R267" s="364">
        <v>25.6</v>
      </c>
      <c r="S267" s="306">
        <v>23</v>
      </c>
      <c r="T267" s="305">
        <v>34</v>
      </c>
    </row>
    <row r="268" spans="1:20" ht="12" customHeight="1" hidden="1">
      <c r="A268" s="86">
        <f>EOMONTH(A269,0)+1</f>
        <v>40848</v>
      </c>
      <c r="B268" s="33"/>
      <c r="C268" s="81">
        <v>212</v>
      </c>
      <c r="D268" s="215">
        <v>212</v>
      </c>
      <c r="E268" s="158">
        <v>213</v>
      </c>
      <c r="F268" s="215">
        <v>17</v>
      </c>
      <c r="G268" s="215">
        <v>18</v>
      </c>
      <c r="H268" s="215">
        <v>13</v>
      </c>
      <c r="I268" s="269">
        <v>30</v>
      </c>
      <c r="J268" s="365">
        <v>24.6</v>
      </c>
      <c r="K268" s="81">
        <v>105</v>
      </c>
      <c r="L268" s="215">
        <v>105</v>
      </c>
      <c r="M268" s="158">
        <v>209</v>
      </c>
      <c r="N268" s="215">
        <v>300</v>
      </c>
      <c r="O268" s="215">
        <v>320</v>
      </c>
      <c r="P268" s="215">
        <v>20</v>
      </c>
      <c r="Q268" s="215">
        <v>28</v>
      </c>
      <c r="R268" s="364">
        <v>32.6</v>
      </c>
      <c r="S268" s="306">
        <v>30</v>
      </c>
      <c r="T268" s="305">
        <v>42</v>
      </c>
    </row>
    <row r="269" spans="1:20" ht="12" customHeight="1" hidden="1">
      <c r="A269" s="86">
        <f>EOMONTH(A270,0)+1</f>
        <v>40817</v>
      </c>
      <c r="B269" s="33"/>
      <c r="C269" s="81">
        <v>213</v>
      </c>
      <c r="D269" s="215">
        <v>212</v>
      </c>
      <c r="E269" s="158">
        <v>214</v>
      </c>
      <c r="F269" s="215">
        <v>21</v>
      </c>
      <c r="G269" s="215">
        <v>21</v>
      </c>
      <c r="H269" s="215">
        <v>16</v>
      </c>
      <c r="I269" s="269">
        <v>31</v>
      </c>
      <c r="J269" s="365">
        <v>21.9</v>
      </c>
      <c r="K269" s="81">
        <v>106</v>
      </c>
      <c r="L269" s="215">
        <v>105</v>
      </c>
      <c r="M269" s="158">
        <v>210</v>
      </c>
      <c r="N269" s="215">
        <v>294</v>
      </c>
      <c r="O269" s="215">
        <v>305</v>
      </c>
      <c r="P269" s="215">
        <v>14</v>
      </c>
      <c r="Q269" s="215">
        <v>29</v>
      </c>
      <c r="R269" s="364">
        <v>30.7</v>
      </c>
      <c r="S269" s="306">
        <v>32</v>
      </c>
      <c r="T269" s="305">
        <v>45</v>
      </c>
    </row>
    <row r="270" spans="1:20" ht="12" customHeight="1" hidden="1">
      <c r="A270" s="86">
        <f>EOMONTH(A271,0)+1</f>
        <v>40787</v>
      </c>
      <c r="B270" s="33"/>
      <c r="C270" s="81">
        <v>208</v>
      </c>
      <c r="D270" s="215">
        <v>208</v>
      </c>
      <c r="E270" s="158">
        <v>210</v>
      </c>
      <c r="F270" s="215">
        <v>176</v>
      </c>
      <c r="G270" s="215">
        <v>187</v>
      </c>
      <c r="H270" s="215">
        <v>158</v>
      </c>
      <c r="I270" s="269">
        <v>50</v>
      </c>
      <c r="J270" s="365">
        <v>23.4</v>
      </c>
      <c r="K270" s="81">
        <v>104</v>
      </c>
      <c r="L270" s="215">
        <v>104</v>
      </c>
      <c r="M270" s="158">
        <v>205</v>
      </c>
      <c r="N270" s="215">
        <v>295</v>
      </c>
      <c r="O270" s="215">
        <v>322</v>
      </c>
      <c r="P270" s="215">
        <v>30</v>
      </c>
      <c r="Q270" s="215">
        <v>46</v>
      </c>
      <c r="R270" s="364">
        <v>28.4</v>
      </c>
      <c r="S270" s="306">
        <v>50</v>
      </c>
      <c r="T270" s="305">
        <v>61</v>
      </c>
    </row>
    <row r="271" spans="1:20" ht="12" customHeight="1" hidden="1">
      <c r="A271" s="86">
        <f>EOMONTH(A272,0)+1</f>
        <v>40756</v>
      </c>
      <c r="B271" s="33"/>
      <c r="C271" s="81">
        <v>204</v>
      </c>
      <c r="D271" s="215">
        <v>204</v>
      </c>
      <c r="E271" s="158">
        <v>207</v>
      </c>
      <c r="F271" s="215">
        <v>310</v>
      </c>
      <c r="G271" s="215">
        <v>330</v>
      </c>
      <c r="H271" s="215">
        <v>295</v>
      </c>
      <c r="I271" s="269">
        <v>56</v>
      </c>
      <c r="J271" s="365">
        <v>25.1</v>
      </c>
      <c r="K271" s="81">
        <v>104</v>
      </c>
      <c r="L271" s="215">
        <v>104</v>
      </c>
      <c r="M271" s="158">
        <v>204</v>
      </c>
      <c r="N271" s="215">
        <v>300</v>
      </c>
      <c r="O271" s="215">
        <v>318</v>
      </c>
      <c r="P271" s="215">
        <v>22</v>
      </c>
      <c r="Q271" s="215">
        <v>48</v>
      </c>
      <c r="R271" s="364">
        <v>27.9</v>
      </c>
      <c r="S271" s="306">
        <v>44</v>
      </c>
      <c r="T271" s="305">
        <v>59</v>
      </c>
    </row>
    <row r="272" spans="1:20" ht="12" customHeight="1" hidden="1">
      <c r="A272" s="86">
        <f>EOMONTH(A273,0)+1</f>
        <v>40725</v>
      </c>
      <c r="B272" s="33"/>
      <c r="C272" s="81">
        <v>208</v>
      </c>
      <c r="D272" s="215">
        <v>207</v>
      </c>
      <c r="E272" s="158">
        <v>210</v>
      </c>
      <c r="F272" s="215">
        <v>200</v>
      </c>
      <c r="G272" s="215">
        <v>230</v>
      </c>
      <c r="H272" s="215">
        <v>190</v>
      </c>
      <c r="I272" s="269">
        <v>44</v>
      </c>
      <c r="J272" s="365">
        <v>25.2</v>
      </c>
      <c r="K272" s="81">
        <v>104</v>
      </c>
      <c r="L272" s="215">
        <v>104</v>
      </c>
      <c r="M272" s="158">
        <v>207</v>
      </c>
      <c r="N272" s="215">
        <v>306</v>
      </c>
      <c r="O272" s="215">
        <v>359</v>
      </c>
      <c r="P272" s="215">
        <v>53</v>
      </c>
      <c r="Q272" s="215">
        <v>40</v>
      </c>
      <c r="R272" s="364">
        <v>32</v>
      </c>
      <c r="S272" s="306">
        <v>42</v>
      </c>
      <c r="T272" s="305">
        <v>54</v>
      </c>
    </row>
    <row r="273" spans="1:20" ht="12" customHeight="1" hidden="1">
      <c r="A273" s="86">
        <f>EOMONTH(A274,0)+1</f>
        <v>40695</v>
      </c>
      <c r="B273" s="33"/>
      <c r="C273" s="81">
        <v>210</v>
      </c>
      <c r="D273" s="215">
        <v>209</v>
      </c>
      <c r="E273" s="158">
        <v>211</v>
      </c>
      <c r="F273" s="215">
        <v>185</v>
      </c>
      <c r="G273" s="215">
        <v>231</v>
      </c>
      <c r="H273" s="215">
        <v>193</v>
      </c>
      <c r="I273" s="269">
        <v>30</v>
      </c>
      <c r="J273" s="365">
        <v>25.1</v>
      </c>
      <c r="K273" s="81">
        <v>105</v>
      </c>
      <c r="L273" s="215">
        <v>104</v>
      </c>
      <c r="M273" s="158">
        <v>207</v>
      </c>
      <c r="N273" s="215">
        <v>304</v>
      </c>
      <c r="O273" s="215">
        <v>359</v>
      </c>
      <c r="P273" s="215">
        <v>59</v>
      </c>
      <c r="Q273" s="215">
        <v>35</v>
      </c>
      <c r="R273" s="364">
        <v>30.7</v>
      </c>
      <c r="S273" s="306">
        <v>38</v>
      </c>
      <c r="T273" s="305">
        <v>53</v>
      </c>
    </row>
    <row r="274" spans="1:20" ht="12" customHeight="1" hidden="1">
      <c r="A274" s="86">
        <f>EOMONTH(A275,0)+1</f>
        <v>40664</v>
      </c>
      <c r="B274" s="33"/>
      <c r="C274" s="81">
        <v>210</v>
      </c>
      <c r="D274" s="215">
        <v>211</v>
      </c>
      <c r="E274" s="158">
        <v>212</v>
      </c>
      <c r="F274" s="215">
        <v>17</v>
      </c>
      <c r="G274" s="215">
        <v>18</v>
      </c>
      <c r="H274" s="215">
        <v>14</v>
      </c>
      <c r="I274" s="269">
        <v>30</v>
      </c>
      <c r="J274" s="365">
        <v>22.3</v>
      </c>
      <c r="K274" s="81">
        <v>104</v>
      </c>
      <c r="L274" s="215">
        <v>104</v>
      </c>
      <c r="M274" s="158">
        <v>208</v>
      </c>
      <c r="N274" s="215">
        <v>303</v>
      </c>
      <c r="O274" s="215">
        <v>352</v>
      </c>
      <c r="P274" s="215">
        <v>44</v>
      </c>
      <c r="Q274" s="215">
        <v>30</v>
      </c>
      <c r="R274" s="364">
        <v>30.9</v>
      </c>
      <c r="S274" s="306">
        <v>31</v>
      </c>
      <c r="T274" s="305">
        <v>45</v>
      </c>
    </row>
    <row r="275" spans="1:20" ht="12" customHeight="1" hidden="1">
      <c r="A275" s="86">
        <f>EOMONTH(A276,0)+1</f>
        <v>40634</v>
      </c>
      <c r="B275" s="33"/>
      <c r="C275" s="81">
        <v>210</v>
      </c>
      <c r="D275" s="215">
        <v>210</v>
      </c>
      <c r="E275" s="158">
        <v>212</v>
      </c>
      <c r="F275" s="215">
        <v>18.2</v>
      </c>
      <c r="G275" s="215">
        <v>18.9</v>
      </c>
      <c r="H275" s="215">
        <v>13.9</v>
      </c>
      <c r="I275" s="269">
        <v>28</v>
      </c>
      <c r="J275" s="365">
        <v>22</v>
      </c>
      <c r="K275" s="81">
        <v>105</v>
      </c>
      <c r="L275" s="215">
        <v>105</v>
      </c>
      <c r="M275" s="158">
        <v>209</v>
      </c>
      <c r="N275" s="215">
        <v>303</v>
      </c>
      <c r="O275" s="215">
        <v>365</v>
      </c>
      <c r="P275" s="215">
        <v>58</v>
      </c>
      <c r="Q275" s="215">
        <v>27</v>
      </c>
      <c r="R275" s="364">
        <v>35.1</v>
      </c>
      <c r="S275" s="306">
        <v>32</v>
      </c>
      <c r="T275" s="305">
        <v>45</v>
      </c>
    </row>
    <row r="276" spans="1:20" ht="12" customHeight="1" hidden="1">
      <c r="A276" s="86">
        <f>EOMONTH(A277,0)+1</f>
        <v>40603</v>
      </c>
      <c r="B276" s="33"/>
      <c r="C276" s="81">
        <v>210</v>
      </c>
      <c r="D276" s="215">
        <v>209</v>
      </c>
      <c r="E276" s="158">
        <v>211</v>
      </c>
      <c r="F276" s="215">
        <v>19.6</v>
      </c>
      <c r="G276" s="215">
        <v>20</v>
      </c>
      <c r="H276" s="215">
        <v>15</v>
      </c>
      <c r="I276" s="269">
        <v>22</v>
      </c>
      <c r="J276" s="365">
        <v>23.4</v>
      </c>
      <c r="K276" s="81">
        <v>103</v>
      </c>
      <c r="L276" s="215">
        <v>103</v>
      </c>
      <c r="M276" s="158">
        <v>207</v>
      </c>
      <c r="N276" s="215">
        <v>307</v>
      </c>
      <c r="O276" s="215">
        <v>256</v>
      </c>
      <c r="P276" s="215">
        <v>49</v>
      </c>
      <c r="Q276" s="215">
        <v>20</v>
      </c>
      <c r="R276" s="364">
        <v>34.7</v>
      </c>
      <c r="S276" s="306">
        <v>23</v>
      </c>
      <c r="T276" s="305">
        <v>32</v>
      </c>
    </row>
    <row r="277" spans="1:20" ht="12" customHeight="1" hidden="1">
      <c r="A277" s="86">
        <f>EOMONTH(A278,0)+1</f>
        <v>40575</v>
      </c>
      <c r="B277" s="33"/>
      <c r="C277" s="81">
        <v>209</v>
      </c>
      <c r="D277" s="215">
        <v>209</v>
      </c>
      <c r="E277" s="158">
        <v>211</v>
      </c>
      <c r="F277" s="215">
        <v>106</v>
      </c>
      <c r="G277" s="215">
        <v>121</v>
      </c>
      <c r="H277" s="215">
        <v>97</v>
      </c>
      <c r="I277" s="269">
        <v>21</v>
      </c>
      <c r="J277" s="365">
        <v>24.9</v>
      </c>
      <c r="K277" s="81">
        <v>103</v>
      </c>
      <c r="L277" s="215">
        <v>103</v>
      </c>
      <c r="M277" s="158">
        <v>207</v>
      </c>
      <c r="N277" s="215">
        <v>320</v>
      </c>
      <c r="O277" s="215">
        <v>360</v>
      </c>
      <c r="P277" s="215">
        <v>40</v>
      </c>
      <c r="Q277" s="215">
        <v>20</v>
      </c>
      <c r="R277" s="364">
        <v>30.7</v>
      </c>
      <c r="S277" s="306">
        <v>25</v>
      </c>
      <c r="T277" s="305">
        <v>35</v>
      </c>
    </row>
    <row r="278" spans="1:20" ht="12" customHeight="1" hidden="1">
      <c r="A278" s="86">
        <f>EOMONTH(A279,0)+1</f>
        <v>40544</v>
      </c>
      <c r="B278" s="33"/>
      <c r="C278" s="81">
        <v>210</v>
      </c>
      <c r="D278" s="215">
        <v>209</v>
      </c>
      <c r="E278" s="158">
        <v>211</v>
      </c>
      <c r="F278" s="215">
        <v>146</v>
      </c>
      <c r="G278" s="215">
        <v>158</v>
      </c>
      <c r="H278" s="215">
        <v>133</v>
      </c>
      <c r="I278" s="269">
        <v>15</v>
      </c>
      <c r="J278" s="365">
        <v>26.7</v>
      </c>
      <c r="K278" s="81">
        <v>104</v>
      </c>
      <c r="L278" s="215">
        <v>104</v>
      </c>
      <c r="M278" s="158">
        <v>208</v>
      </c>
      <c r="N278" s="215">
        <v>303</v>
      </c>
      <c r="O278" s="215">
        <v>358</v>
      </c>
      <c r="P278" s="215">
        <v>57</v>
      </c>
      <c r="Q278" s="215">
        <v>13</v>
      </c>
      <c r="R278" s="364">
        <v>30.7</v>
      </c>
      <c r="S278" s="306">
        <v>18</v>
      </c>
      <c r="T278" s="305">
        <v>25</v>
      </c>
    </row>
    <row r="279" spans="1:20" ht="12" customHeight="1" hidden="1">
      <c r="A279" s="86">
        <f>EOMONTH(A280,0)+1</f>
        <v>40513</v>
      </c>
      <c r="B279" s="33"/>
      <c r="C279" s="81">
        <v>211</v>
      </c>
      <c r="D279" s="215">
        <v>210</v>
      </c>
      <c r="E279" s="158">
        <v>212</v>
      </c>
      <c r="F279" s="215">
        <v>17</v>
      </c>
      <c r="G279" s="215">
        <v>18</v>
      </c>
      <c r="H279" s="215">
        <v>14</v>
      </c>
      <c r="I279" s="269">
        <v>28</v>
      </c>
      <c r="J279" s="365">
        <v>21.7</v>
      </c>
      <c r="K279" s="81">
        <v>105</v>
      </c>
      <c r="L279" s="215">
        <v>104</v>
      </c>
      <c r="M279" s="158">
        <v>208</v>
      </c>
      <c r="N279" s="215">
        <v>300</v>
      </c>
      <c r="O279" s="215">
        <v>328</v>
      </c>
      <c r="P279" s="215">
        <v>37</v>
      </c>
      <c r="Q279" s="215">
        <v>27</v>
      </c>
      <c r="R279" s="364">
        <v>30.1</v>
      </c>
      <c r="S279" s="306">
        <v>30</v>
      </c>
      <c r="T279" s="305">
        <v>42</v>
      </c>
    </row>
    <row r="280" spans="1:20" ht="12" customHeight="1" hidden="1">
      <c r="A280" s="86">
        <f>EOMONTH(A281,0)+1</f>
        <v>40483</v>
      </c>
      <c r="B280" s="33"/>
      <c r="C280" s="81">
        <v>213</v>
      </c>
      <c r="D280" s="215">
        <v>212</v>
      </c>
      <c r="E280" s="158">
        <v>214</v>
      </c>
      <c r="F280" s="215">
        <v>18</v>
      </c>
      <c r="G280" s="215">
        <v>19</v>
      </c>
      <c r="H280" s="215">
        <v>13</v>
      </c>
      <c r="I280" s="269">
        <v>29</v>
      </c>
      <c r="J280" s="365">
        <v>22.1</v>
      </c>
      <c r="K280" s="81">
        <v>106</v>
      </c>
      <c r="L280" s="215">
        <v>106</v>
      </c>
      <c r="M280" s="158">
        <v>210</v>
      </c>
      <c r="N280" s="215">
        <v>310</v>
      </c>
      <c r="O280" s="215">
        <v>380</v>
      </c>
      <c r="P280" s="215">
        <v>69</v>
      </c>
      <c r="Q280" s="215">
        <v>29</v>
      </c>
      <c r="R280" s="364">
        <v>33.4</v>
      </c>
      <c r="S280" s="306">
        <v>29</v>
      </c>
      <c r="T280" s="305">
        <v>41</v>
      </c>
    </row>
    <row r="281" spans="1:20" ht="12" customHeight="1" hidden="1">
      <c r="A281" s="86">
        <f>EOMONTH(A282,0)+1</f>
        <v>40452</v>
      </c>
      <c r="B281" s="33"/>
      <c r="C281" s="81">
        <v>210</v>
      </c>
      <c r="D281" s="215">
        <v>209</v>
      </c>
      <c r="E281" s="158">
        <v>212</v>
      </c>
      <c r="F281" s="215">
        <v>95</v>
      </c>
      <c r="G281" s="215">
        <v>108</v>
      </c>
      <c r="H281" s="215">
        <v>77</v>
      </c>
      <c r="I281" s="269">
        <v>34</v>
      </c>
      <c r="J281" s="365">
        <v>25.5</v>
      </c>
      <c r="K281" s="81">
        <v>104</v>
      </c>
      <c r="L281" s="215">
        <v>104</v>
      </c>
      <c r="M281" s="158">
        <v>206</v>
      </c>
      <c r="N281" s="215">
        <v>330</v>
      </c>
      <c r="O281" s="215">
        <v>350</v>
      </c>
      <c r="P281" s="215">
        <v>21</v>
      </c>
      <c r="Q281" s="215">
        <v>30</v>
      </c>
      <c r="R281" s="364">
        <v>30.7</v>
      </c>
      <c r="S281" s="306">
        <v>33</v>
      </c>
      <c r="T281" s="305">
        <v>43</v>
      </c>
    </row>
    <row r="282" spans="1:20" ht="12" customHeight="1" hidden="1">
      <c r="A282" s="86">
        <f>EOMONTH(A283,0)+1</f>
        <v>40422</v>
      </c>
      <c r="B282" s="33"/>
      <c r="C282" s="81">
        <v>203</v>
      </c>
      <c r="D282" s="215">
        <v>202</v>
      </c>
      <c r="E282" s="158">
        <v>206</v>
      </c>
      <c r="F282" s="215">
        <v>300</v>
      </c>
      <c r="G282" s="215">
        <v>320</v>
      </c>
      <c r="H282" s="215">
        <v>290</v>
      </c>
      <c r="I282" s="269">
        <v>56</v>
      </c>
      <c r="J282" s="365">
        <v>25.1</v>
      </c>
      <c r="K282" s="81">
        <v>102</v>
      </c>
      <c r="L282" s="215">
        <v>102</v>
      </c>
      <c r="M282" s="158">
        <v>202</v>
      </c>
      <c r="N282" s="215">
        <v>345</v>
      </c>
      <c r="O282" s="215">
        <v>360</v>
      </c>
      <c r="P282" s="215">
        <v>18</v>
      </c>
      <c r="Q282" s="215">
        <v>49</v>
      </c>
      <c r="R282" s="364">
        <v>28.2</v>
      </c>
      <c r="S282" s="306">
        <v>48</v>
      </c>
      <c r="T282" s="305">
        <v>62</v>
      </c>
    </row>
    <row r="283" spans="1:20" ht="12" customHeight="1" hidden="1">
      <c r="A283" s="86">
        <f>EOMONTH(A284,0)+1</f>
        <v>40391</v>
      </c>
      <c r="B283" s="33"/>
      <c r="C283" s="81">
        <v>203</v>
      </c>
      <c r="D283" s="215">
        <v>203</v>
      </c>
      <c r="E283" s="158">
        <v>208</v>
      </c>
      <c r="F283" s="215">
        <v>410</v>
      </c>
      <c r="G283" s="215">
        <v>430</v>
      </c>
      <c r="H283" s="215">
        <v>400</v>
      </c>
      <c r="I283" s="269">
        <v>56</v>
      </c>
      <c r="J283" s="365">
        <v>25.4</v>
      </c>
      <c r="K283" s="81">
        <v>102</v>
      </c>
      <c r="L283" s="215">
        <v>102</v>
      </c>
      <c r="M283" s="158">
        <v>203</v>
      </c>
      <c r="N283" s="215">
        <v>370</v>
      </c>
      <c r="O283" s="215">
        <v>380</v>
      </c>
      <c r="P283" s="215">
        <v>16</v>
      </c>
      <c r="Q283" s="215">
        <v>47</v>
      </c>
      <c r="R283" s="364">
        <v>27.5</v>
      </c>
      <c r="S283" s="306">
        <v>49</v>
      </c>
      <c r="T283" s="305">
        <v>63</v>
      </c>
    </row>
    <row r="284" spans="1:20" ht="12" customHeight="1" hidden="1">
      <c r="A284" s="86">
        <f>EOMONTH(A285,0)+1</f>
        <v>40360</v>
      </c>
      <c r="B284" s="33"/>
      <c r="C284" s="81">
        <v>208</v>
      </c>
      <c r="D284" s="215">
        <v>208</v>
      </c>
      <c r="E284" s="158">
        <v>210</v>
      </c>
      <c r="F284" s="215">
        <v>220</v>
      </c>
      <c r="G284" s="215">
        <v>240</v>
      </c>
      <c r="H284" s="215">
        <v>220</v>
      </c>
      <c r="I284" s="269">
        <v>42</v>
      </c>
      <c r="J284" s="365">
        <v>26.5</v>
      </c>
      <c r="K284" s="81">
        <v>104</v>
      </c>
      <c r="L284" s="215">
        <v>104</v>
      </c>
      <c r="M284" s="158">
        <v>206</v>
      </c>
      <c r="N284" s="215">
        <v>370</v>
      </c>
      <c r="O284" s="215">
        <v>350</v>
      </c>
      <c r="P284" s="215">
        <v>28</v>
      </c>
      <c r="Q284" s="215">
        <v>37</v>
      </c>
      <c r="R284" s="364">
        <v>28.9</v>
      </c>
      <c r="S284" s="306">
        <v>38</v>
      </c>
      <c r="T284" s="305">
        <v>51</v>
      </c>
    </row>
    <row r="285" spans="1:20" ht="12" customHeight="1" hidden="1">
      <c r="A285" s="86">
        <f>EOMONTH(A286,0)+1</f>
        <v>40330</v>
      </c>
      <c r="B285" s="33"/>
      <c r="C285" s="81">
        <v>209</v>
      </c>
      <c r="D285" s="215">
        <v>208</v>
      </c>
      <c r="E285" s="158">
        <v>211</v>
      </c>
      <c r="F285" s="215">
        <v>138</v>
      </c>
      <c r="G285" s="215">
        <v>150</v>
      </c>
      <c r="H285" s="215">
        <v>126</v>
      </c>
      <c r="I285" s="269">
        <v>40</v>
      </c>
      <c r="J285" s="365">
        <v>24.4</v>
      </c>
      <c r="K285" s="81">
        <v>105</v>
      </c>
      <c r="L285" s="215">
        <v>104</v>
      </c>
      <c r="M285" s="158">
        <v>206</v>
      </c>
      <c r="N285" s="215">
        <v>380</v>
      </c>
      <c r="O285" s="215">
        <v>350</v>
      </c>
      <c r="P285" s="215">
        <v>28</v>
      </c>
      <c r="Q285" s="215">
        <v>35</v>
      </c>
      <c r="R285" s="364">
        <v>29.4</v>
      </c>
      <c r="S285" s="306">
        <v>40</v>
      </c>
      <c r="T285" s="305">
        <v>53</v>
      </c>
    </row>
    <row r="286" spans="1:20" ht="12" customHeight="1" hidden="1">
      <c r="A286" s="86">
        <f>EOMONTH(A287,0)+1</f>
        <v>40299</v>
      </c>
      <c r="B286" s="33"/>
      <c r="C286" s="81">
        <v>208</v>
      </c>
      <c r="D286" s="215">
        <v>208</v>
      </c>
      <c r="E286" s="158">
        <v>211</v>
      </c>
      <c r="F286" s="215">
        <v>158</v>
      </c>
      <c r="G286" s="215">
        <v>171</v>
      </c>
      <c r="H286" s="215">
        <v>143</v>
      </c>
      <c r="I286" s="269">
        <v>41</v>
      </c>
      <c r="J286" s="365">
        <v>24.4</v>
      </c>
      <c r="K286" s="81">
        <v>103</v>
      </c>
      <c r="L286" s="215">
        <v>103</v>
      </c>
      <c r="M286" s="158">
        <v>206</v>
      </c>
      <c r="N286" s="215">
        <v>340</v>
      </c>
      <c r="O286" s="215">
        <v>360</v>
      </c>
      <c r="P286" s="215">
        <v>23</v>
      </c>
      <c r="Q286" s="215">
        <v>37</v>
      </c>
      <c r="R286" s="364">
        <v>30.1</v>
      </c>
      <c r="S286" s="306">
        <v>42</v>
      </c>
      <c r="T286" s="305">
        <v>57</v>
      </c>
    </row>
    <row r="287" spans="1:20" ht="12" customHeight="1" hidden="1">
      <c r="A287" s="86">
        <f>EOMONTH(A288,0)+1</f>
        <v>40269</v>
      </c>
      <c r="B287" s="33"/>
      <c r="C287" s="81">
        <v>210</v>
      </c>
      <c r="D287" s="215">
        <v>209</v>
      </c>
      <c r="E287" s="158">
        <v>212</v>
      </c>
      <c r="F287" s="215">
        <v>19.2</v>
      </c>
      <c r="G287" s="215">
        <v>18.8</v>
      </c>
      <c r="H287" s="215">
        <v>14.8</v>
      </c>
      <c r="I287" s="269">
        <v>27</v>
      </c>
      <c r="J287" s="365">
        <v>22.7</v>
      </c>
      <c r="K287" s="81">
        <v>104</v>
      </c>
      <c r="L287" s="215">
        <v>104</v>
      </c>
      <c r="M287" s="158">
        <v>207</v>
      </c>
      <c r="N287" s="215">
        <v>323</v>
      </c>
      <c r="O287" s="215">
        <v>350</v>
      </c>
      <c r="P287" s="215">
        <v>28</v>
      </c>
      <c r="Q287" s="215">
        <v>27</v>
      </c>
      <c r="R287" s="364">
        <v>28.9</v>
      </c>
      <c r="S287" s="306">
        <v>31</v>
      </c>
      <c r="T287" s="305">
        <v>43</v>
      </c>
    </row>
    <row r="288" spans="1:20" ht="12" customHeight="1" hidden="1">
      <c r="A288" s="86">
        <f>EOMONTH(A289,0)+1</f>
        <v>40238</v>
      </c>
      <c r="B288" s="33"/>
      <c r="C288" s="81">
        <v>211</v>
      </c>
      <c r="D288" s="215">
        <v>210</v>
      </c>
      <c r="E288" s="158">
        <v>212</v>
      </c>
      <c r="F288" s="215">
        <v>19.3</v>
      </c>
      <c r="G288" s="215">
        <v>19.3</v>
      </c>
      <c r="H288" s="215">
        <v>14.4</v>
      </c>
      <c r="I288" s="269">
        <v>26</v>
      </c>
      <c r="J288" s="365">
        <v>23.4</v>
      </c>
      <c r="K288" s="81">
        <v>104</v>
      </c>
      <c r="L288" s="215">
        <v>104</v>
      </c>
      <c r="M288" s="158">
        <v>208</v>
      </c>
      <c r="N288" s="215">
        <v>350</v>
      </c>
      <c r="O288" s="215">
        <v>380</v>
      </c>
      <c r="P288" s="215">
        <v>40</v>
      </c>
      <c r="Q288" s="215">
        <v>27</v>
      </c>
      <c r="R288" s="364">
        <v>29.4</v>
      </c>
      <c r="S288" s="306">
        <v>30</v>
      </c>
      <c r="T288" s="305">
        <v>41</v>
      </c>
    </row>
    <row r="289" spans="1:20" ht="12" customHeight="1" hidden="1">
      <c r="A289" s="86">
        <f>EOMONTH(A290,0)+1</f>
        <v>40210</v>
      </c>
      <c r="B289" s="33"/>
      <c r="C289" s="81">
        <v>208</v>
      </c>
      <c r="D289" s="215">
        <v>205</v>
      </c>
      <c r="E289" s="158">
        <v>209</v>
      </c>
      <c r="F289" s="215">
        <v>195</v>
      </c>
      <c r="G289" s="215">
        <v>206</v>
      </c>
      <c r="H289" s="215">
        <v>177</v>
      </c>
      <c r="I289" s="269">
        <v>20</v>
      </c>
      <c r="J289" s="365">
        <v>25.5</v>
      </c>
      <c r="K289" s="81">
        <v>103</v>
      </c>
      <c r="L289" s="215">
        <v>103</v>
      </c>
      <c r="M289" s="158">
        <v>205</v>
      </c>
      <c r="N289" s="215">
        <v>378</v>
      </c>
      <c r="O289" s="215">
        <v>369</v>
      </c>
      <c r="P289" s="215">
        <v>20</v>
      </c>
      <c r="Q289" s="215">
        <v>24</v>
      </c>
      <c r="R289" s="364">
        <v>30.8</v>
      </c>
      <c r="S289" s="306">
        <v>21</v>
      </c>
      <c r="T289" s="305">
        <v>31</v>
      </c>
    </row>
    <row r="290" spans="1:20" ht="12" customHeight="1" hidden="1">
      <c r="A290" s="86">
        <f>EOMONTH(A291,0)+1</f>
        <v>40179</v>
      </c>
      <c r="B290" s="33"/>
      <c r="C290" s="81">
        <v>210</v>
      </c>
      <c r="D290" s="215">
        <v>210</v>
      </c>
      <c r="E290" s="158">
        <v>212</v>
      </c>
      <c r="F290" s="215">
        <v>151</v>
      </c>
      <c r="G290" s="215">
        <v>163</v>
      </c>
      <c r="H290" s="215">
        <v>139</v>
      </c>
      <c r="I290" s="269">
        <v>15</v>
      </c>
      <c r="J290" s="365">
        <v>26.1</v>
      </c>
      <c r="K290" s="81">
        <v>103</v>
      </c>
      <c r="L290" s="215">
        <v>103</v>
      </c>
      <c r="M290" s="158">
        <v>208</v>
      </c>
      <c r="N290" s="215">
        <v>366</v>
      </c>
      <c r="O290" s="215">
        <v>387</v>
      </c>
      <c r="P290" s="215">
        <v>23</v>
      </c>
      <c r="Q290" s="215">
        <v>14</v>
      </c>
      <c r="R290" s="364">
        <v>31.1</v>
      </c>
      <c r="S290" s="306">
        <v>16</v>
      </c>
      <c r="T290" s="305">
        <v>23</v>
      </c>
    </row>
    <row r="291" spans="1:20" ht="12" customHeight="1" hidden="1">
      <c r="A291" s="86">
        <f>EOMONTH(A292,0)+1</f>
        <v>40148</v>
      </c>
      <c r="B291" s="33"/>
      <c r="C291" s="81">
        <v>211</v>
      </c>
      <c r="D291" s="215">
        <v>211</v>
      </c>
      <c r="E291" s="158">
        <v>213</v>
      </c>
      <c r="F291" s="215">
        <v>19</v>
      </c>
      <c r="G291" s="215">
        <v>19</v>
      </c>
      <c r="H291" s="215">
        <v>15</v>
      </c>
      <c r="I291" s="269">
        <v>20</v>
      </c>
      <c r="J291" s="365">
        <v>23.9</v>
      </c>
      <c r="K291" s="81">
        <v>105</v>
      </c>
      <c r="L291" s="215">
        <v>104</v>
      </c>
      <c r="M291" s="158">
        <v>208</v>
      </c>
      <c r="N291" s="215">
        <v>360</v>
      </c>
      <c r="O291" s="215">
        <v>398</v>
      </c>
      <c r="P291" s="215">
        <v>40</v>
      </c>
      <c r="Q291" s="215">
        <v>18</v>
      </c>
      <c r="R291" s="364">
        <v>31</v>
      </c>
      <c r="S291" s="306">
        <v>27</v>
      </c>
      <c r="T291" s="305">
        <v>34</v>
      </c>
    </row>
    <row r="292" spans="1:20" ht="12" customHeight="1" hidden="1">
      <c r="A292" s="86">
        <f>EOMONTH(A293,0)+1</f>
        <v>40118</v>
      </c>
      <c r="B292" s="33"/>
      <c r="C292" s="81">
        <v>212</v>
      </c>
      <c r="D292" s="215">
        <v>212</v>
      </c>
      <c r="E292" s="158">
        <v>214</v>
      </c>
      <c r="F292" s="215">
        <v>18</v>
      </c>
      <c r="G292" s="215">
        <v>19</v>
      </c>
      <c r="H292" s="215">
        <v>15</v>
      </c>
      <c r="I292" s="269">
        <v>31</v>
      </c>
      <c r="J292" s="365">
        <v>22.1</v>
      </c>
      <c r="K292" s="81">
        <v>105</v>
      </c>
      <c r="L292" s="215">
        <v>105</v>
      </c>
      <c r="M292" s="158">
        <v>209</v>
      </c>
      <c r="N292" s="215">
        <v>360</v>
      </c>
      <c r="O292" s="215">
        <v>420</v>
      </c>
      <c r="P292" s="215">
        <v>52</v>
      </c>
      <c r="Q292" s="215">
        <v>31</v>
      </c>
      <c r="R292" s="364">
        <v>32.9</v>
      </c>
      <c r="S292" s="306">
        <v>33</v>
      </c>
      <c r="T292" s="305">
        <v>47</v>
      </c>
    </row>
    <row r="293" spans="1:20" ht="12" customHeight="1" hidden="1">
      <c r="A293" s="86">
        <f>EOMONTH(A294,0)+1</f>
        <v>40087</v>
      </c>
      <c r="B293" s="33"/>
      <c r="C293" s="81">
        <v>211</v>
      </c>
      <c r="D293" s="215">
        <v>211</v>
      </c>
      <c r="E293" s="158">
        <v>214</v>
      </c>
      <c r="F293" s="215">
        <v>80</v>
      </c>
      <c r="G293" s="215">
        <v>90</v>
      </c>
      <c r="H293" s="215">
        <v>71</v>
      </c>
      <c r="I293" s="269">
        <v>30</v>
      </c>
      <c r="J293" s="365">
        <v>26.5</v>
      </c>
      <c r="K293" s="81">
        <v>105</v>
      </c>
      <c r="L293" s="215">
        <v>105</v>
      </c>
      <c r="M293" s="158">
        <v>209</v>
      </c>
      <c r="N293" s="215">
        <v>380</v>
      </c>
      <c r="O293" s="215">
        <v>400</v>
      </c>
      <c r="P293" s="215">
        <v>35</v>
      </c>
      <c r="Q293" s="215">
        <v>30</v>
      </c>
      <c r="R293" s="364">
        <v>31.5</v>
      </c>
      <c r="S293" s="306">
        <v>27</v>
      </c>
      <c r="T293" s="305">
        <v>38</v>
      </c>
    </row>
    <row r="294" spans="1:20" ht="12" customHeight="1" hidden="1">
      <c r="A294" s="86">
        <f>EOMONTH(A295,0)+1</f>
        <v>40057</v>
      </c>
      <c r="B294" s="33"/>
      <c r="C294" s="81">
        <v>209</v>
      </c>
      <c r="D294" s="215">
        <v>208</v>
      </c>
      <c r="E294" s="158">
        <v>212</v>
      </c>
      <c r="F294" s="215">
        <v>210</v>
      </c>
      <c r="G294" s="215">
        <v>225</v>
      </c>
      <c r="H294" s="215">
        <v>200</v>
      </c>
      <c r="I294" s="269">
        <v>44</v>
      </c>
      <c r="J294" s="365">
        <v>26.5</v>
      </c>
      <c r="K294" s="81">
        <v>105</v>
      </c>
      <c r="L294" s="215">
        <v>104</v>
      </c>
      <c r="M294" s="158">
        <v>207</v>
      </c>
      <c r="N294" s="215">
        <v>380</v>
      </c>
      <c r="O294" s="215">
        <v>370</v>
      </c>
      <c r="P294" s="215">
        <v>9</v>
      </c>
      <c r="Q294" s="215">
        <v>40</v>
      </c>
      <c r="R294" s="364">
        <v>30.3</v>
      </c>
      <c r="S294" s="306">
        <v>46</v>
      </c>
      <c r="T294" s="305">
        <v>57</v>
      </c>
    </row>
    <row r="295" spans="1:20" ht="12" customHeight="1" hidden="1">
      <c r="A295" s="86">
        <f>EOMONTH(A296,0)+1</f>
        <v>40026</v>
      </c>
      <c r="B295" s="33"/>
      <c r="C295" s="81">
        <v>207</v>
      </c>
      <c r="D295" s="215">
        <v>206</v>
      </c>
      <c r="E295" s="158">
        <v>209</v>
      </c>
      <c r="F295" s="215">
        <v>290</v>
      </c>
      <c r="G295" s="215">
        <v>310</v>
      </c>
      <c r="H295" s="215">
        <v>280</v>
      </c>
      <c r="I295" s="269">
        <v>45</v>
      </c>
      <c r="J295" s="365">
        <v>26.9</v>
      </c>
      <c r="K295" s="81">
        <v>103</v>
      </c>
      <c r="L295" s="215">
        <v>103</v>
      </c>
      <c r="M295" s="158">
        <v>204</v>
      </c>
      <c r="N295" s="215">
        <v>410</v>
      </c>
      <c r="O295" s="215">
        <v>410</v>
      </c>
      <c r="P295" s="215">
        <v>12</v>
      </c>
      <c r="Q295" s="215">
        <v>41</v>
      </c>
      <c r="R295" s="364">
        <v>32.1</v>
      </c>
      <c r="S295" s="306">
        <v>40</v>
      </c>
      <c r="T295" s="305">
        <v>53</v>
      </c>
    </row>
    <row r="296" spans="1:20" ht="12" customHeight="1" hidden="1">
      <c r="A296" s="86">
        <f>EOMONTH(A297,0)+1</f>
        <v>39995</v>
      </c>
      <c r="B296" s="33"/>
      <c r="C296" s="81">
        <v>203</v>
      </c>
      <c r="D296" s="215">
        <v>203</v>
      </c>
      <c r="E296" s="158">
        <v>206</v>
      </c>
      <c r="F296" s="215">
        <v>280</v>
      </c>
      <c r="G296" s="215">
        <v>310</v>
      </c>
      <c r="H296" s="215">
        <v>270</v>
      </c>
      <c r="I296" s="269">
        <v>52</v>
      </c>
      <c r="J296" s="365">
        <v>26.3</v>
      </c>
      <c r="K296" s="81">
        <v>102</v>
      </c>
      <c r="L296" s="215">
        <v>101</v>
      </c>
      <c r="M296" s="158">
        <v>202</v>
      </c>
      <c r="N296" s="215">
        <v>410</v>
      </c>
      <c r="O296" s="215">
        <v>400</v>
      </c>
      <c r="P296" s="215">
        <v>10</v>
      </c>
      <c r="Q296" s="215">
        <v>46</v>
      </c>
      <c r="R296" s="364">
        <v>29.8</v>
      </c>
      <c r="S296" s="306">
        <v>45</v>
      </c>
      <c r="T296" s="305">
        <v>57</v>
      </c>
    </row>
    <row r="297" spans="1:20" ht="12" customHeight="1" hidden="1">
      <c r="A297" s="86">
        <f>EOMONTH(A298,0)+1</f>
        <v>39965</v>
      </c>
      <c r="B297" s="33"/>
      <c r="C297" s="81">
        <v>212</v>
      </c>
      <c r="D297" s="215">
        <v>211</v>
      </c>
      <c r="E297" s="158">
        <v>213</v>
      </c>
      <c r="F297" s="215">
        <v>110</v>
      </c>
      <c r="G297" s="215">
        <v>114</v>
      </c>
      <c r="H297" s="215">
        <v>95</v>
      </c>
      <c r="I297" s="269">
        <v>37</v>
      </c>
      <c r="J297" s="365">
        <v>24.8</v>
      </c>
      <c r="K297" s="81">
        <v>105</v>
      </c>
      <c r="L297" s="215">
        <v>105</v>
      </c>
      <c r="M297" s="158">
        <v>209</v>
      </c>
      <c r="N297" s="215">
        <v>400</v>
      </c>
      <c r="O297" s="215">
        <v>410</v>
      </c>
      <c r="P297" s="215">
        <v>25</v>
      </c>
      <c r="Q297" s="215">
        <v>34</v>
      </c>
      <c r="R297" s="364">
        <v>30.6</v>
      </c>
      <c r="S297" s="306">
        <v>36</v>
      </c>
      <c r="T297" s="305">
        <v>51</v>
      </c>
    </row>
    <row r="298" spans="1:20" ht="12" customHeight="1" hidden="1">
      <c r="A298" s="86">
        <f>EOMONTH(A299,0)+1</f>
        <v>39934</v>
      </c>
      <c r="B298" s="33"/>
      <c r="C298" s="81">
        <v>213</v>
      </c>
      <c r="D298" s="215">
        <v>212</v>
      </c>
      <c r="E298" s="158">
        <v>214</v>
      </c>
      <c r="F298" s="215">
        <v>19</v>
      </c>
      <c r="G298" s="215">
        <v>19</v>
      </c>
      <c r="H298" s="215">
        <v>15</v>
      </c>
      <c r="I298" s="269">
        <v>30</v>
      </c>
      <c r="J298" s="365">
        <v>24.1</v>
      </c>
      <c r="K298" s="81">
        <v>105</v>
      </c>
      <c r="L298" s="215">
        <v>104</v>
      </c>
      <c r="M298" s="158">
        <v>209</v>
      </c>
      <c r="N298" s="215">
        <v>420</v>
      </c>
      <c r="O298" s="215">
        <v>400</v>
      </c>
      <c r="P298" s="215">
        <v>17</v>
      </c>
      <c r="Q298" s="215">
        <v>28</v>
      </c>
      <c r="R298" s="364">
        <v>31.8</v>
      </c>
      <c r="S298" s="306">
        <v>31</v>
      </c>
      <c r="T298" s="305">
        <v>45</v>
      </c>
    </row>
    <row r="299" spans="1:20" ht="12" customHeight="1" hidden="1">
      <c r="A299" s="86">
        <f>EOMONTH(A300,0)+1</f>
        <v>39904</v>
      </c>
      <c r="B299" s="33"/>
      <c r="C299" s="81">
        <v>216</v>
      </c>
      <c r="D299" s="215">
        <v>214</v>
      </c>
      <c r="E299" s="158">
        <v>217</v>
      </c>
      <c r="F299" s="215">
        <v>20</v>
      </c>
      <c r="G299" s="215">
        <v>20</v>
      </c>
      <c r="H299" s="215">
        <v>15</v>
      </c>
      <c r="I299" s="269">
        <v>25</v>
      </c>
      <c r="J299" s="365">
        <v>23</v>
      </c>
      <c r="K299" s="81">
        <v>106</v>
      </c>
      <c r="L299" s="215">
        <v>106</v>
      </c>
      <c r="M299" s="158">
        <v>212</v>
      </c>
      <c r="N299" s="215">
        <v>400</v>
      </c>
      <c r="O299" s="215">
        <v>418</v>
      </c>
      <c r="P299" s="215">
        <v>19</v>
      </c>
      <c r="Q299" s="215">
        <v>23</v>
      </c>
      <c r="R299" s="364">
        <v>33.6</v>
      </c>
      <c r="S299" s="306">
        <v>27</v>
      </c>
      <c r="T299" s="305">
        <v>39</v>
      </c>
    </row>
    <row r="300" spans="1:20" ht="12" customHeight="1" hidden="1">
      <c r="A300" s="86">
        <f>EOMONTH(A301,0)+1</f>
        <v>39873</v>
      </c>
      <c r="B300" s="33"/>
      <c r="C300" s="81">
        <v>211</v>
      </c>
      <c r="D300" s="215">
        <v>210</v>
      </c>
      <c r="E300" s="158">
        <v>212</v>
      </c>
      <c r="F300" s="215">
        <v>20.5</v>
      </c>
      <c r="G300" s="215">
        <v>25.2</v>
      </c>
      <c r="H300" s="215">
        <v>14.1</v>
      </c>
      <c r="I300" s="269">
        <v>21</v>
      </c>
      <c r="J300" s="365">
        <v>23.6</v>
      </c>
      <c r="K300" s="81">
        <v>103</v>
      </c>
      <c r="L300" s="215">
        <v>103</v>
      </c>
      <c r="M300" s="158">
        <v>206</v>
      </c>
      <c r="N300" s="215">
        <v>436</v>
      </c>
      <c r="O300" s="215">
        <v>419</v>
      </c>
      <c r="P300" s="215">
        <v>25</v>
      </c>
      <c r="Q300" s="215">
        <v>21</v>
      </c>
      <c r="R300" s="364">
        <v>31.5</v>
      </c>
      <c r="S300" s="306">
        <v>27</v>
      </c>
      <c r="T300" s="305">
        <v>36</v>
      </c>
    </row>
    <row r="301" spans="1:20" ht="12" customHeight="1" hidden="1">
      <c r="A301" s="86">
        <f>EOMONTH(A302,0)+1</f>
        <v>39845</v>
      </c>
      <c r="B301" s="33"/>
      <c r="C301" s="81">
        <v>211</v>
      </c>
      <c r="D301" s="215">
        <v>210</v>
      </c>
      <c r="E301" s="158">
        <v>212</v>
      </c>
      <c r="F301" s="215">
        <v>20</v>
      </c>
      <c r="G301" s="215">
        <v>21</v>
      </c>
      <c r="H301" s="215">
        <v>15</v>
      </c>
      <c r="I301" s="269">
        <v>21</v>
      </c>
      <c r="J301" s="365">
        <v>23.3</v>
      </c>
      <c r="K301" s="81">
        <v>104</v>
      </c>
      <c r="L301" s="215">
        <v>104</v>
      </c>
      <c r="M301" s="158">
        <v>208</v>
      </c>
      <c r="N301" s="215">
        <v>430</v>
      </c>
      <c r="O301" s="215">
        <v>460</v>
      </c>
      <c r="P301" s="215">
        <v>30</v>
      </c>
      <c r="Q301" s="215">
        <v>21</v>
      </c>
      <c r="R301" s="364">
        <v>31</v>
      </c>
      <c r="S301" s="306">
        <v>25</v>
      </c>
      <c r="T301" s="305">
        <v>37</v>
      </c>
    </row>
    <row r="302" spans="1:20" ht="12" customHeight="1" hidden="1">
      <c r="A302" s="86">
        <f>EOMONTH(A303,0)+1</f>
        <v>39814</v>
      </c>
      <c r="B302" s="33"/>
      <c r="C302" s="81">
        <v>212</v>
      </c>
      <c r="D302" s="215">
        <v>212</v>
      </c>
      <c r="E302" s="158">
        <v>213</v>
      </c>
      <c r="F302" s="215">
        <v>140</v>
      </c>
      <c r="G302" s="215">
        <v>151</v>
      </c>
      <c r="H302" s="215">
        <v>127</v>
      </c>
      <c r="I302" s="269">
        <v>18</v>
      </c>
      <c r="J302" s="365">
        <v>25.1</v>
      </c>
      <c r="K302" s="81">
        <v>104</v>
      </c>
      <c r="L302" s="215">
        <v>104</v>
      </c>
      <c r="M302" s="158">
        <v>209</v>
      </c>
      <c r="N302" s="215">
        <v>451</v>
      </c>
      <c r="O302" s="215">
        <v>417</v>
      </c>
      <c r="P302" s="215">
        <v>32</v>
      </c>
      <c r="Q302" s="215">
        <v>16</v>
      </c>
      <c r="R302" s="364">
        <v>33</v>
      </c>
      <c r="S302" s="306">
        <v>20</v>
      </c>
      <c r="T302" s="305">
        <v>31</v>
      </c>
    </row>
    <row r="303" spans="1:20" ht="12" customHeight="1" hidden="1">
      <c r="A303" s="86">
        <f>EOMONTH(A304,0)+1</f>
        <v>39783</v>
      </c>
      <c r="B303" s="33"/>
      <c r="C303" s="81">
        <v>212</v>
      </c>
      <c r="D303" s="215">
        <v>211</v>
      </c>
      <c r="E303" s="158">
        <v>213</v>
      </c>
      <c r="F303" s="215">
        <v>19.8</v>
      </c>
      <c r="G303" s="215">
        <v>19.6</v>
      </c>
      <c r="H303" s="215">
        <v>14.4</v>
      </c>
      <c r="I303" s="269">
        <v>25</v>
      </c>
      <c r="J303" s="365">
        <v>25.1</v>
      </c>
      <c r="K303" s="81">
        <v>104</v>
      </c>
      <c r="L303" s="215">
        <v>104</v>
      </c>
      <c r="M303" s="158">
        <v>208</v>
      </c>
      <c r="N303" s="215">
        <v>510</v>
      </c>
      <c r="O303" s="215">
        <v>521</v>
      </c>
      <c r="P303" s="215">
        <v>15</v>
      </c>
      <c r="Q303" s="215">
        <v>26</v>
      </c>
      <c r="R303" s="364">
        <v>30.4</v>
      </c>
      <c r="S303" s="306">
        <v>33</v>
      </c>
      <c r="T303" s="305">
        <v>45</v>
      </c>
    </row>
    <row r="304" spans="1:20" ht="12" customHeight="1" hidden="1">
      <c r="A304" s="86">
        <f>EOMONTH(A305,0)+1</f>
        <v>39753</v>
      </c>
      <c r="B304" s="33"/>
      <c r="C304" s="81">
        <v>211</v>
      </c>
      <c r="D304" s="215">
        <v>211</v>
      </c>
      <c r="E304" s="158">
        <v>212</v>
      </c>
      <c r="F304" s="215">
        <v>90</v>
      </c>
      <c r="G304" s="215">
        <v>101</v>
      </c>
      <c r="H304" s="215">
        <v>81</v>
      </c>
      <c r="I304" s="269">
        <v>30</v>
      </c>
      <c r="J304" s="365">
        <v>24.3</v>
      </c>
      <c r="K304" s="81">
        <v>105</v>
      </c>
      <c r="L304" s="215">
        <v>104</v>
      </c>
      <c r="M304" s="158">
        <v>208</v>
      </c>
      <c r="N304" s="215">
        <v>430</v>
      </c>
      <c r="O304" s="215">
        <v>420</v>
      </c>
      <c r="P304" s="215">
        <v>20</v>
      </c>
      <c r="Q304" s="215">
        <v>30</v>
      </c>
      <c r="R304" s="364">
        <v>30.5</v>
      </c>
      <c r="S304" s="306">
        <v>32</v>
      </c>
      <c r="T304" s="305">
        <v>48</v>
      </c>
    </row>
    <row r="305" spans="1:20" ht="12" customHeight="1" hidden="1">
      <c r="A305" s="86">
        <f>EOMONTH(A306,0)+1</f>
        <v>39722</v>
      </c>
      <c r="B305" s="33"/>
      <c r="C305" s="81">
        <v>214</v>
      </c>
      <c r="D305" s="215">
        <v>213</v>
      </c>
      <c r="E305" s="158">
        <v>215</v>
      </c>
      <c r="F305" s="215">
        <v>81</v>
      </c>
      <c r="G305" s="215">
        <v>89</v>
      </c>
      <c r="H305" s="215">
        <v>71</v>
      </c>
      <c r="I305" s="269">
        <v>33</v>
      </c>
      <c r="J305" s="365">
        <v>25.2</v>
      </c>
      <c r="K305" s="81">
        <v>106</v>
      </c>
      <c r="L305" s="215">
        <v>105</v>
      </c>
      <c r="M305" s="158">
        <v>210</v>
      </c>
      <c r="N305" s="215">
        <v>415</v>
      </c>
      <c r="O305" s="215">
        <v>417</v>
      </c>
      <c r="P305" s="215">
        <v>25</v>
      </c>
      <c r="Q305" s="215">
        <v>32</v>
      </c>
      <c r="R305" s="364">
        <v>29.9</v>
      </c>
      <c r="S305" s="306">
        <v>36</v>
      </c>
      <c r="T305" s="305">
        <v>48</v>
      </c>
    </row>
    <row r="306" spans="1:20" ht="12" customHeight="1" hidden="1">
      <c r="A306" s="86">
        <f>EOMONTH(A307,0)+1</f>
        <v>39692</v>
      </c>
      <c r="B306" s="33"/>
      <c r="C306" s="81">
        <v>209</v>
      </c>
      <c r="D306" s="215">
        <v>208</v>
      </c>
      <c r="E306" s="158">
        <v>211</v>
      </c>
      <c r="F306" s="215">
        <v>169</v>
      </c>
      <c r="G306" s="215">
        <v>183</v>
      </c>
      <c r="H306" s="215">
        <v>146</v>
      </c>
      <c r="I306" s="269">
        <v>44</v>
      </c>
      <c r="J306" s="365">
        <v>25.9</v>
      </c>
      <c r="K306" s="81">
        <v>105</v>
      </c>
      <c r="L306" s="215">
        <v>105</v>
      </c>
      <c r="M306" s="158">
        <v>208</v>
      </c>
      <c r="N306" s="215">
        <v>417</v>
      </c>
      <c r="O306" s="215">
        <v>430</v>
      </c>
      <c r="P306" s="215">
        <v>17</v>
      </c>
      <c r="Q306" s="215">
        <v>40</v>
      </c>
      <c r="R306" s="364">
        <v>29.4</v>
      </c>
      <c r="S306" s="306">
        <v>43</v>
      </c>
      <c r="T306" s="305">
        <v>58</v>
      </c>
    </row>
    <row r="307" spans="1:20" ht="12" customHeight="1" hidden="1">
      <c r="A307" s="86">
        <f>EOMONTH(A308,0)+1</f>
        <v>39661</v>
      </c>
      <c r="B307" s="33"/>
      <c r="C307" s="81">
        <v>208</v>
      </c>
      <c r="D307" s="215">
        <v>207</v>
      </c>
      <c r="E307" s="158">
        <v>210</v>
      </c>
      <c r="F307" s="215">
        <v>290</v>
      </c>
      <c r="G307" s="215">
        <v>320</v>
      </c>
      <c r="H307" s="215">
        <v>280</v>
      </c>
      <c r="I307" s="269">
        <v>45</v>
      </c>
      <c r="J307" s="365">
        <v>26.9</v>
      </c>
      <c r="K307" s="81">
        <v>104</v>
      </c>
      <c r="L307" s="215">
        <v>103</v>
      </c>
      <c r="M307" s="158">
        <v>204</v>
      </c>
      <c r="N307" s="215">
        <v>410</v>
      </c>
      <c r="O307" s="215">
        <v>427</v>
      </c>
      <c r="P307" s="215">
        <v>17</v>
      </c>
      <c r="Q307" s="215">
        <v>40</v>
      </c>
      <c r="R307" s="364">
        <v>31.3</v>
      </c>
      <c r="S307" s="306">
        <v>41</v>
      </c>
      <c r="T307" s="305">
        <v>55</v>
      </c>
    </row>
    <row r="308" spans="1:20" ht="12" customHeight="1" hidden="1">
      <c r="A308" s="86">
        <f>EOMONTH(A309,0)+1</f>
        <v>39630</v>
      </c>
      <c r="B308" s="33"/>
      <c r="C308" s="81">
        <v>206</v>
      </c>
      <c r="D308" s="215">
        <v>206</v>
      </c>
      <c r="E308" s="158">
        <v>208</v>
      </c>
      <c r="F308" s="215">
        <v>290</v>
      </c>
      <c r="G308" s="215">
        <v>320</v>
      </c>
      <c r="H308" s="215">
        <v>280</v>
      </c>
      <c r="I308" s="269">
        <v>48</v>
      </c>
      <c r="J308" s="365">
        <v>27.4</v>
      </c>
      <c r="K308" s="81">
        <v>104</v>
      </c>
      <c r="L308" s="215">
        <v>104</v>
      </c>
      <c r="M308" s="158">
        <v>206</v>
      </c>
      <c r="N308" s="215">
        <v>420</v>
      </c>
      <c r="O308" s="215">
        <v>430</v>
      </c>
      <c r="P308" s="215">
        <v>20</v>
      </c>
      <c r="Q308" s="215">
        <v>50</v>
      </c>
      <c r="R308" s="364">
        <v>29.8</v>
      </c>
      <c r="S308" s="306">
        <v>52</v>
      </c>
      <c r="T308" s="305">
        <v>61</v>
      </c>
    </row>
    <row r="309" spans="1:20" ht="12" customHeight="1" hidden="1">
      <c r="A309" s="86">
        <f>EOMONTH(A310,0)+1</f>
        <v>39600</v>
      </c>
      <c r="B309" s="33"/>
      <c r="C309" s="81">
        <v>211</v>
      </c>
      <c r="D309" s="215">
        <v>210</v>
      </c>
      <c r="E309" s="158">
        <v>212</v>
      </c>
      <c r="F309" s="215">
        <v>143</v>
      </c>
      <c r="G309" s="215">
        <v>97</v>
      </c>
      <c r="H309" s="215">
        <v>76</v>
      </c>
      <c r="I309" s="269">
        <v>35</v>
      </c>
      <c r="J309" s="365">
        <v>24.7</v>
      </c>
      <c r="K309" s="81">
        <v>105</v>
      </c>
      <c r="L309" s="215">
        <v>105</v>
      </c>
      <c r="M309" s="158">
        <v>210</v>
      </c>
      <c r="N309" s="215">
        <v>430</v>
      </c>
      <c r="O309" s="215">
        <v>470</v>
      </c>
      <c r="P309" s="215">
        <v>40</v>
      </c>
      <c r="Q309" s="215">
        <v>34</v>
      </c>
      <c r="R309" s="364">
        <v>32.2</v>
      </c>
      <c r="S309" s="306">
        <v>35</v>
      </c>
      <c r="T309" s="305">
        <v>48</v>
      </c>
    </row>
    <row r="310" spans="1:20" ht="12" customHeight="1" hidden="1">
      <c r="A310" s="86">
        <f>EOMONTH(A311,0)+1</f>
        <v>39569</v>
      </c>
      <c r="B310" s="33"/>
      <c r="C310" s="81">
        <v>211</v>
      </c>
      <c r="D310" s="215">
        <v>210</v>
      </c>
      <c r="E310" s="158">
        <v>212</v>
      </c>
      <c r="F310" s="215">
        <v>156</v>
      </c>
      <c r="G310" s="215">
        <v>162</v>
      </c>
      <c r="H310" s="215">
        <v>142</v>
      </c>
      <c r="I310" s="269">
        <v>37</v>
      </c>
      <c r="J310" s="365">
        <v>24.4</v>
      </c>
      <c r="K310" s="81">
        <v>105</v>
      </c>
      <c r="L310" s="215">
        <v>105</v>
      </c>
      <c r="M310" s="158">
        <v>209</v>
      </c>
      <c r="N310" s="215">
        <v>430</v>
      </c>
      <c r="O310" s="215">
        <v>430</v>
      </c>
      <c r="P310" s="215">
        <v>20</v>
      </c>
      <c r="Q310" s="215">
        <v>36</v>
      </c>
      <c r="R310" s="364">
        <v>30.9</v>
      </c>
      <c r="S310" s="306">
        <v>33</v>
      </c>
      <c r="T310" s="305">
        <v>46</v>
      </c>
    </row>
    <row r="311" spans="1:20" ht="12" customHeight="1" hidden="1">
      <c r="A311" s="86">
        <f>EOMONTH(A312,0)+1</f>
        <v>39539</v>
      </c>
      <c r="B311" s="33"/>
      <c r="C311" s="81">
        <v>211</v>
      </c>
      <c r="D311" s="215">
        <v>210</v>
      </c>
      <c r="E311" s="158">
        <v>212</v>
      </c>
      <c r="F311" s="215">
        <v>130</v>
      </c>
      <c r="G311" s="215">
        <v>141</v>
      </c>
      <c r="H311" s="215">
        <v>120</v>
      </c>
      <c r="I311" s="269">
        <v>33</v>
      </c>
      <c r="J311" s="365">
        <v>24.9</v>
      </c>
      <c r="K311" s="81">
        <v>105</v>
      </c>
      <c r="L311" s="215">
        <v>104</v>
      </c>
      <c r="M311" s="158">
        <v>209</v>
      </c>
      <c r="N311" s="215">
        <v>415</v>
      </c>
      <c r="O311" s="215">
        <v>430</v>
      </c>
      <c r="P311" s="215">
        <v>20</v>
      </c>
      <c r="Q311" s="215">
        <v>32</v>
      </c>
      <c r="R311" s="364">
        <v>32.2</v>
      </c>
      <c r="S311" s="306">
        <v>30</v>
      </c>
      <c r="T311" s="305">
        <v>41</v>
      </c>
    </row>
    <row r="312" spans="1:20" ht="12" customHeight="1" hidden="1">
      <c r="A312" s="86">
        <f>EOMONTH(A313,0)+1</f>
        <v>39508</v>
      </c>
      <c r="B312" s="33"/>
      <c r="C312" s="81">
        <v>211</v>
      </c>
      <c r="D312" s="215">
        <v>211</v>
      </c>
      <c r="E312" s="158">
        <v>212</v>
      </c>
      <c r="F312" s="215">
        <v>24</v>
      </c>
      <c r="G312" s="215">
        <v>33</v>
      </c>
      <c r="H312" s="215">
        <v>15</v>
      </c>
      <c r="I312" s="269">
        <v>18</v>
      </c>
      <c r="J312" s="365">
        <v>25.6</v>
      </c>
      <c r="K312" s="81">
        <v>104</v>
      </c>
      <c r="L312" s="215">
        <v>104</v>
      </c>
      <c r="M312" s="158">
        <v>208</v>
      </c>
      <c r="N312" s="215">
        <v>430</v>
      </c>
      <c r="O312" s="215">
        <v>450</v>
      </c>
      <c r="P312" s="215">
        <v>30</v>
      </c>
      <c r="Q312" s="215">
        <v>18</v>
      </c>
      <c r="R312" s="364">
        <v>33.4</v>
      </c>
      <c r="S312" s="306">
        <v>22</v>
      </c>
      <c r="T312" s="305">
        <v>30</v>
      </c>
    </row>
    <row r="313" spans="1:20" ht="12" customHeight="1" hidden="1">
      <c r="A313" s="86">
        <f>EOMONTH(A314,0)+1</f>
        <v>39479</v>
      </c>
      <c r="B313" s="33"/>
      <c r="C313" s="81">
        <v>209</v>
      </c>
      <c r="D313" s="215">
        <v>209</v>
      </c>
      <c r="E313" s="158">
        <v>211</v>
      </c>
      <c r="F313" s="215">
        <v>128</v>
      </c>
      <c r="G313" s="215">
        <v>141</v>
      </c>
      <c r="H313" s="215">
        <v>120</v>
      </c>
      <c r="I313" s="269">
        <v>16</v>
      </c>
      <c r="J313" s="365">
        <v>26.2</v>
      </c>
      <c r="K313" s="81">
        <v>102</v>
      </c>
      <c r="L313" s="215">
        <v>102</v>
      </c>
      <c r="M313" s="158">
        <v>206</v>
      </c>
      <c r="N313" s="215">
        <v>424</v>
      </c>
      <c r="O313" s="215">
        <v>459</v>
      </c>
      <c r="P313" s="215">
        <v>38</v>
      </c>
      <c r="Q313" s="215">
        <v>17</v>
      </c>
      <c r="R313" s="364">
        <v>33.2</v>
      </c>
      <c r="S313" s="306">
        <v>18</v>
      </c>
      <c r="T313" s="305">
        <v>28</v>
      </c>
    </row>
    <row r="314" spans="1:20" ht="12" customHeight="1" hidden="1">
      <c r="A314" s="86">
        <f>EOMONTH(A315,0)+1</f>
        <v>39448</v>
      </c>
      <c r="B314" s="33"/>
      <c r="C314" s="81">
        <v>211</v>
      </c>
      <c r="D314" s="215">
        <v>211</v>
      </c>
      <c r="E314" s="158">
        <v>213</v>
      </c>
      <c r="F314" s="215">
        <v>23</v>
      </c>
      <c r="G314" s="215">
        <v>22</v>
      </c>
      <c r="H314" s="215">
        <v>17</v>
      </c>
      <c r="I314" s="269">
        <v>21</v>
      </c>
      <c r="J314" s="365">
        <v>24.2</v>
      </c>
      <c r="K314" s="81">
        <v>103</v>
      </c>
      <c r="L314" s="215">
        <v>103</v>
      </c>
      <c r="M314" s="158">
        <v>208</v>
      </c>
      <c r="N314" s="215">
        <v>412</v>
      </c>
      <c r="O314" s="215">
        <v>440</v>
      </c>
      <c r="P314" s="215">
        <v>38</v>
      </c>
      <c r="Q314" s="215">
        <v>24</v>
      </c>
      <c r="R314" s="364">
        <v>33</v>
      </c>
      <c r="S314" s="306">
        <v>25</v>
      </c>
      <c r="T314" s="305">
        <v>35</v>
      </c>
    </row>
    <row r="315" spans="1:20" ht="12" customHeight="1" hidden="1">
      <c r="A315" s="86">
        <f>EOMONTH(A316,0)+1</f>
        <v>39417</v>
      </c>
      <c r="B315" s="33"/>
      <c r="C315" s="81">
        <v>209</v>
      </c>
      <c r="D315" s="215">
        <v>208</v>
      </c>
      <c r="E315" s="158">
        <v>211</v>
      </c>
      <c r="F315" s="215">
        <v>30</v>
      </c>
      <c r="G315" s="215">
        <v>34</v>
      </c>
      <c r="H315" s="215">
        <v>22</v>
      </c>
      <c r="I315" s="269">
        <v>24</v>
      </c>
      <c r="J315" s="365">
        <v>24.8</v>
      </c>
      <c r="K315" s="81">
        <v>103</v>
      </c>
      <c r="L315" s="215">
        <v>102</v>
      </c>
      <c r="M315" s="158">
        <v>205</v>
      </c>
      <c r="N315" s="215">
        <v>416</v>
      </c>
      <c r="O315" s="215">
        <v>449</v>
      </c>
      <c r="P315" s="215">
        <v>24</v>
      </c>
      <c r="Q315" s="215">
        <v>25</v>
      </c>
      <c r="R315" s="364">
        <v>31.2</v>
      </c>
      <c r="S315" s="306">
        <v>30</v>
      </c>
      <c r="T315" s="305">
        <v>40</v>
      </c>
    </row>
    <row r="316" spans="1:20" ht="12" customHeight="1" hidden="1">
      <c r="A316" s="86">
        <f>EOMONTH(A317,0)+1</f>
        <v>39387</v>
      </c>
      <c r="B316" s="33"/>
      <c r="C316" s="81">
        <v>210</v>
      </c>
      <c r="D316" s="215">
        <v>211</v>
      </c>
      <c r="E316" s="158">
        <v>214</v>
      </c>
      <c r="F316" s="215">
        <v>103</v>
      </c>
      <c r="G316" s="215">
        <v>120</v>
      </c>
      <c r="H316" s="215">
        <v>93</v>
      </c>
      <c r="I316" s="269">
        <v>35</v>
      </c>
      <c r="J316" s="365">
        <v>25.4</v>
      </c>
      <c r="K316" s="81">
        <v>105</v>
      </c>
      <c r="L316" s="215">
        <v>104</v>
      </c>
      <c r="M316" s="158">
        <v>208</v>
      </c>
      <c r="N316" s="215">
        <v>440</v>
      </c>
      <c r="O316" s="215">
        <v>430</v>
      </c>
      <c r="P316" s="215">
        <v>21</v>
      </c>
      <c r="Q316" s="215">
        <v>33</v>
      </c>
      <c r="R316" s="364">
        <v>30</v>
      </c>
      <c r="S316" s="306">
        <v>33</v>
      </c>
      <c r="T316" s="305">
        <v>46</v>
      </c>
    </row>
    <row r="317" spans="1:20" ht="12" customHeight="1" hidden="1">
      <c r="A317" s="86">
        <v>39356</v>
      </c>
      <c r="B317" s="33"/>
      <c r="C317" s="81">
        <v>212</v>
      </c>
      <c r="D317" s="215">
        <v>212</v>
      </c>
      <c r="E317" s="158">
        <v>215</v>
      </c>
      <c r="F317" s="215">
        <v>23</v>
      </c>
      <c r="G317" s="215">
        <v>23</v>
      </c>
      <c r="H317" s="215">
        <v>18</v>
      </c>
      <c r="I317" s="269">
        <v>35</v>
      </c>
      <c r="J317" s="365">
        <v>23</v>
      </c>
      <c r="K317" s="81">
        <v>107</v>
      </c>
      <c r="L317" s="215">
        <v>106</v>
      </c>
      <c r="M317" s="158">
        <v>210</v>
      </c>
      <c r="N317" s="215">
        <v>177</v>
      </c>
      <c r="O317" s="215">
        <v>189</v>
      </c>
      <c r="P317" s="215">
        <v>13</v>
      </c>
      <c r="Q317" s="215">
        <v>30</v>
      </c>
      <c r="R317" s="364">
        <v>30.8</v>
      </c>
      <c r="S317" s="306">
        <v>35</v>
      </c>
      <c r="T317" s="305">
        <v>46</v>
      </c>
    </row>
    <row r="318" spans="1:20" ht="12" customHeight="1" hidden="1">
      <c r="A318" s="86">
        <f>EOMONTH(A319,0)+1</f>
        <v>39295</v>
      </c>
      <c r="B318" s="33"/>
      <c r="C318" s="361">
        <v>201</v>
      </c>
      <c r="D318" s="362">
        <v>203</v>
      </c>
      <c r="E318" s="363">
        <v>203</v>
      </c>
      <c r="F318" s="362">
        <v>430</v>
      </c>
      <c r="G318" s="362">
        <v>495</v>
      </c>
      <c r="H318" s="362">
        <v>430</v>
      </c>
      <c r="I318" s="269"/>
      <c r="J318" s="269"/>
      <c r="K318" s="361">
        <v>102</v>
      </c>
      <c r="L318" s="362">
        <v>102</v>
      </c>
      <c r="M318" s="363">
        <v>201</v>
      </c>
      <c r="N318" s="362">
        <v>506</v>
      </c>
      <c r="O318" s="362"/>
      <c r="P318" s="362"/>
      <c r="Q318" s="362">
        <v>50</v>
      </c>
      <c r="R318" s="368"/>
      <c r="S318" s="366">
        <v>39</v>
      </c>
      <c r="T318" s="423" t="s">
        <v>223</v>
      </c>
    </row>
    <row r="319" spans="1:20" ht="12" customHeight="1" hidden="1">
      <c r="A319" s="86">
        <f>EOMONTH(A320,0)+1</f>
        <v>39264</v>
      </c>
      <c r="B319" s="33"/>
      <c r="C319" s="361">
        <v>210</v>
      </c>
      <c r="D319" s="362">
        <v>212</v>
      </c>
      <c r="E319" s="363">
        <v>214</v>
      </c>
      <c r="F319" s="362">
        <v>170</v>
      </c>
      <c r="G319" s="362">
        <v>205</v>
      </c>
      <c r="H319" s="362">
        <v>175</v>
      </c>
      <c r="I319" s="269"/>
      <c r="J319" s="269"/>
      <c r="K319" s="361">
        <v>107</v>
      </c>
      <c r="L319" s="362">
        <v>106</v>
      </c>
      <c r="M319" s="363">
        <v>210</v>
      </c>
      <c r="N319" s="362">
        <v>399</v>
      </c>
      <c r="O319" s="362"/>
      <c r="P319" s="362"/>
      <c r="Q319" s="362">
        <v>33</v>
      </c>
      <c r="R319" s="368"/>
      <c r="S319" s="366">
        <v>24</v>
      </c>
      <c r="T319" s="369" t="s">
        <v>224</v>
      </c>
    </row>
    <row r="320" spans="1:20" ht="12" customHeight="1" hidden="1">
      <c r="A320" s="86">
        <v>39234</v>
      </c>
      <c r="B320" s="33"/>
      <c r="C320" s="361">
        <v>207</v>
      </c>
      <c r="D320" s="362">
        <v>210</v>
      </c>
      <c r="E320" s="363">
        <v>212</v>
      </c>
      <c r="F320" s="362">
        <v>160</v>
      </c>
      <c r="G320" s="362">
        <v>190</v>
      </c>
      <c r="H320" s="362">
        <v>170</v>
      </c>
      <c r="I320" s="269"/>
      <c r="J320" s="269"/>
      <c r="K320" s="361">
        <v>103</v>
      </c>
      <c r="L320" s="362">
        <v>103</v>
      </c>
      <c r="M320" s="363">
        <v>206</v>
      </c>
      <c r="N320" s="362">
        <v>399</v>
      </c>
      <c r="O320" s="362"/>
      <c r="P320" s="362"/>
      <c r="Q320" s="362">
        <v>31</v>
      </c>
      <c r="R320" s="368"/>
      <c r="S320" s="366">
        <v>18</v>
      </c>
      <c r="T320" s="367"/>
    </row>
    <row r="321" spans="1:20" s="266" customFormat="1" ht="6" customHeight="1">
      <c r="A321" s="263"/>
      <c r="B321" s="263"/>
      <c r="C321" s="263"/>
      <c r="D321" s="263"/>
      <c r="E321" s="263"/>
      <c r="F321" s="263"/>
      <c r="G321" s="263"/>
      <c r="H321" s="263"/>
      <c r="I321" s="265"/>
      <c r="J321" s="265"/>
      <c r="K321" s="263"/>
      <c r="L321" s="263"/>
      <c r="M321" s="263"/>
      <c r="N321" s="264"/>
      <c r="O321" s="264"/>
      <c r="P321" s="265"/>
      <c r="Q321" s="265"/>
      <c r="R321" s="263"/>
      <c r="S321" s="263"/>
      <c r="T321" s="263"/>
    </row>
    <row r="322" spans="1:21" s="103" customFormat="1" ht="23.25" customHeight="1">
      <c r="A322" s="234"/>
      <c r="B322" s="228" t="s">
        <v>255</v>
      </c>
      <c r="C322" s="119"/>
      <c r="D322" s="119"/>
      <c r="E322" s="119"/>
      <c r="F322" s="119"/>
      <c r="G322" s="119"/>
      <c r="H322" s="119"/>
      <c r="I322" s="380" t="s">
        <v>389</v>
      </c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381"/>
      <c r="U322" s="266"/>
    </row>
    <row r="323" spans="1:21" s="103" customFormat="1" ht="12">
      <c r="A323" s="227" t="s">
        <v>234</v>
      </c>
      <c r="B323" s="229" t="s">
        <v>235</v>
      </c>
      <c r="C323" s="230"/>
      <c r="D323" s="128" t="s">
        <v>236</v>
      </c>
      <c r="E323" s="129"/>
      <c r="F323" s="129" t="s">
        <v>388</v>
      </c>
      <c r="G323" s="129"/>
      <c r="H323" s="129"/>
      <c r="I323" s="382"/>
      <c r="J323" s="383"/>
      <c r="K323" s="384" t="s">
        <v>254</v>
      </c>
      <c r="L323" s="385" t="s">
        <v>395</v>
      </c>
      <c r="M323" s="235"/>
      <c r="N323" s="235"/>
      <c r="O323" s="235"/>
      <c r="P323" s="235"/>
      <c r="Q323" s="235"/>
      <c r="R323" s="235"/>
      <c r="S323" s="235"/>
      <c r="T323" s="386"/>
      <c r="U323" s="266"/>
    </row>
    <row r="324" spans="1:21" s="103" customFormat="1" ht="12">
      <c r="A324" s="227" t="s">
        <v>237</v>
      </c>
      <c r="B324" s="387" t="s">
        <v>181</v>
      </c>
      <c r="C324" s="388" t="s">
        <v>238</v>
      </c>
      <c r="D324" s="129"/>
      <c r="E324" s="129"/>
      <c r="F324" s="129"/>
      <c r="G324" s="129"/>
      <c r="H324" s="129"/>
      <c r="I324" s="382"/>
      <c r="J324" s="383"/>
      <c r="K324" s="384" t="s">
        <v>62</v>
      </c>
      <c r="L324" s="525"/>
      <c r="M324" s="235"/>
      <c r="N324" s="235"/>
      <c r="O324" s="235"/>
      <c r="P324" s="235"/>
      <c r="Q324" s="235"/>
      <c r="R324" s="235"/>
      <c r="S324" s="235"/>
      <c r="T324" s="386"/>
      <c r="U324" s="266"/>
    </row>
    <row r="325" spans="1:21" s="103" customFormat="1" ht="12">
      <c r="A325" s="227" t="s">
        <v>239</v>
      </c>
      <c r="B325" s="387" t="s">
        <v>189</v>
      </c>
      <c r="C325" s="399">
        <v>1.24</v>
      </c>
      <c r="D325" s="235" t="s">
        <v>240</v>
      </c>
      <c r="E325" s="129"/>
      <c r="F325" s="235" t="s">
        <v>241</v>
      </c>
      <c r="G325" s="389"/>
      <c r="H325" s="129"/>
      <c r="I325" s="382"/>
      <c r="J325" s="383"/>
      <c r="K325" s="384" t="s">
        <v>62</v>
      </c>
      <c r="L325" s="573"/>
      <c r="M325" s="235"/>
      <c r="N325" s="235"/>
      <c r="O325" s="235"/>
      <c r="P325" s="235"/>
      <c r="Q325" s="235"/>
      <c r="R325" s="235"/>
      <c r="S325" s="235"/>
      <c r="T325" s="386"/>
      <c r="U325" s="266"/>
    </row>
    <row r="326" spans="1:21" s="103" customFormat="1" ht="12">
      <c r="A326" s="227"/>
      <c r="B326" s="387" t="s">
        <v>242</v>
      </c>
      <c r="C326" s="128" t="s">
        <v>243</v>
      </c>
      <c r="D326" s="129"/>
      <c r="E326" s="129"/>
      <c r="F326" s="390">
        <v>18</v>
      </c>
      <c r="G326" s="391" t="s">
        <v>244</v>
      </c>
      <c r="H326" s="392">
        <v>18</v>
      </c>
      <c r="I326" s="382"/>
      <c r="J326" s="383"/>
      <c r="K326" s="384" t="s">
        <v>62</v>
      </c>
      <c r="L326" s="385" t="s">
        <v>396</v>
      </c>
      <c r="M326" s="235"/>
      <c r="N326" s="235"/>
      <c r="O326" s="235"/>
      <c r="P326" s="235"/>
      <c r="Q326" s="235"/>
      <c r="R326" s="235"/>
      <c r="S326" s="235"/>
      <c r="T326" s="386"/>
      <c r="U326" s="266"/>
    </row>
    <row r="327" spans="1:33" s="103" customFormat="1" ht="12">
      <c r="A327" s="231"/>
      <c r="B327" s="232" t="s">
        <v>245</v>
      </c>
      <c r="C327" s="139"/>
      <c r="D327" s="233"/>
      <c r="E327" s="429" t="s">
        <v>246</v>
      </c>
      <c r="F327" s="139"/>
      <c r="G327" s="139"/>
      <c r="H327" s="139"/>
      <c r="I327" s="393"/>
      <c r="J327" s="394"/>
      <c r="K327" s="430" t="s">
        <v>62</v>
      </c>
      <c r="L327" s="429" t="s">
        <v>247</v>
      </c>
      <c r="M327" s="431"/>
      <c r="N327" s="431"/>
      <c r="O327" s="431"/>
      <c r="P327" s="431"/>
      <c r="Q327" s="431"/>
      <c r="R327" s="431"/>
      <c r="S327" s="431"/>
      <c r="T327" s="432"/>
      <c r="U327" s="403" t="s">
        <v>345</v>
      </c>
      <c r="V327" s="403"/>
      <c r="W327" s="576" t="s">
        <v>375</v>
      </c>
      <c r="X327" s="576"/>
      <c r="Y327" s="576"/>
      <c r="Z327" s="576"/>
      <c r="AA327" s="576"/>
      <c r="AB327" s="576"/>
      <c r="AC327" s="576"/>
      <c r="AD327" s="576"/>
      <c r="AE327" s="576"/>
      <c r="AF327" s="576"/>
      <c r="AG327" s="576"/>
    </row>
    <row r="328" spans="1:33" s="103" customFormat="1" ht="12">
      <c r="A328" s="518"/>
      <c r="B328" s="433" t="s">
        <v>248</v>
      </c>
      <c r="C328" s="434">
        <v>1</v>
      </c>
      <c r="D328" s="434">
        <v>2</v>
      </c>
      <c r="E328" s="434">
        <v>3</v>
      </c>
      <c r="F328" s="434">
        <v>4</v>
      </c>
      <c r="G328" s="434">
        <v>5</v>
      </c>
      <c r="H328" s="434">
        <v>6</v>
      </c>
      <c r="I328" s="434">
        <v>7</v>
      </c>
      <c r="J328" s="434">
        <v>8</v>
      </c>
      <c r="K328" s="434">
        <v>9</v>
      </c>
      <c r="L328" s="434">
        <v>10</v>
      </c>
      <c r="M328" s="434">
        <v>11</v>
      </c>
      <c r="N328" s="434">
        <v>12</v>
      </c>
      <c r="O328" s="435"/>
      <c r="P328" s="436"/>
      <c r="Q328" s="436"/>
      <c r="R328" s="436"/>
      <c r="S328" s="436"/>
      <c r="T328" s="437"/>
      <c r="U328" s="395" t="s">
        <v>249</v>
      </c>
      <c r="V328" s="577" t="s">
        <v>362</v>
      </c>
      <c r="W328" s="577" t="s">
        <v>363</v>
      </c>
      <c r="X328" s="577" t="s">
        <v>364</v>
      </c>
      <c r="Y328" s="577" t="s">
        <v>365</v>
      </c>
      <c r="Z328" s="577" t="s">
        <v>366</v>
      </c>
      <c r="AA328" s="577" t="s">
        <v>367</v>
      </c>
      <c r="AB328" s="577" t="s">
        <v>368</v>
      </c>
      <c r="AC328" s="577" t="s">
        <v>369</v>
      </c>
      <c r="AD328" s="577" t="s">
        <v>370</v>
      </c>
      <c r="AE328" s="577" t="s">
        <v>371</v>
      </c>
      <c r="AF328" s="577" t="s">
        <v>372</v>
      </c>
      <c r="AG328" s="577" t="s">
        <v>373</v>
      </c>
    </row>
    <row r="329" spans="1:33" s="103" customFormat="1" ht="12">
      <c r="A329" s="518" t="s">
        <v>305</v>
      </c>
      <c r="B329" s="516" t="s">
        <v>181</v>
      </c>
      <c r="C329" s="397">
        <f>2.1+V329/1000</f>
        <v>2.1830000000000003</v>
      </c>
      <c r="D329" s="397">
        <f aca="true" t="shared" si="123" ref="D329:N329">2.1+W329/1000</f>
        <v>2.1310000000000002</v>
      </c>
      <c r="E329" s="397">
        <f t="shared" si="123"/>
        <v>2.178</v>
      </c>
      <c r="F329" s="397">
        <f t="shared" si="123"/>
        <v>2.177</v>
      </c>
      <c r="G329" s="397">
        <f t="shared" si="123"/>
        <v>2.1790000000000003</v>
      </c>
      <c r="H329" s="397">
        <f t="shared" si="123"/>
        <v>2.18</v>
      </c>
      <c r="I329" s="397">
        <f t="shared" si="123"/>
        <v>2.1790000000000003</v>
      </c>
      <c r="J329" s="397">
        <f t="shared" si="123"/>
        <v>2.18</v>
      </c>
      <c r="K329" s="397">
        <f t="shared" si="123"/>
        <v>2.1790000000000003</v>
      </c>
      <c r="L329" s="397">
        <f t="shared" si="123"/>
        <v>2.18</v>
      </c>
      <c r="M329" s="397">
        <f t="shared" si="123"/>
        <v>2.181</v>
      </c>
      <c r="N329" s="397">
        <f t="shared" si="123"/>
        <v>2.1790000000000003</v>
      </c>
      <c r="O329" s="400"/>
      <c r="P329" s="401"/>
      <c r="Q329" s="401"/>
      <c r="R329" s="401"/>
      <c r="S329" s="401"/>
      <c r="T329" s="402"/>
      <c r="U329" s="395" t="s">
        <v>250</v>
      </c>
      <c r="V329" s="578">
        <v>83</v>
      </c>
      <c r="W329" s="578">
        <v>31</v>
      </c>
      <c r="X329" s="578">
        <v>78</v>
      </c>
      <c r="Y329" s="578">
        <v>77</v>
      </c>
      <c r="Z329" s="578">
        <v>79</v>
      </c>
      <c r="AA329" s="578">
        <v>80</v>
      </c>
      <c r="AB329" s="578">
        <v>79</v>
      </c>
      <c r="AC329" s="578">
        <v>80</v>
      </c>
      <c r="AD329" s="578">
        <v>79</v>
      </c>
      <c r="AE329" s="578">
        <v>80</v>
      </c>
      <c r="AF329" s="578">
        <v>81</v>
      </c>
      <c r="AG329" s="578">
        <v>79</v>
      </c>
    </row>
    <row r="330" spans="1:33" s="103" customFormat="1" ht="12">
      <c r="A330" s="518" t="s">
        <v>306</v>
      </c>
      <c r="B330" s="396" t="s">
        <v>251</v>
      </c>
      <c r="C330" s="397">
        <f>1.2+V330/1000</f>
        <v>1.248</v>
      </c>
      <c r="D330" s="397">
        <f aca="true" t="shared" si="124" ref="D330:N330">1.2+W330/1000</f>
        <v>1.25</v>
      </c>
      <c r="E330" s="397">
        <f t="shared" si="124"/>
        <v>1.25</v>
      </c>
      <c r="F330" s="397">
        <f t="shared" si="124"/>
        <v>1.2489999999999999</v>
      </c>
      <c r="G330" s="397">
        <f t="shared" si="124"/>
        <v>1.2489999999999999</v>
      </c>
      <c r="H330" s="397">
        <f t="shared" si="124"/>
        <v>1.2489999999999999</v>
      </c>
      <c r="I330" s="397">
        <f t="shared" si="124"/>
        <v>1.248</v>
      </c>
      <c r="J330" s="397">
        <f t="shared" si="124"/>
        <v>1.246</v>
      </c>
      <c r="K330" s="397">
        <f t="shared" si="124"/>
        <v>1.2469999999999999</v>
      </c>
      <c r="L330" s="397">
        <f t="shared" si="124"/>
        <v>1.246</v>
      </c>
      <c r="M330" s="397">
        <f t="shared" si="124"/>
        <v>1.2469999999999999</v>
      </c>
      <c r="N330" s="397">
        <f t="shared" si="124"/>
        <v>1.246</v>
      </c>
      <c r="O330" s="400"/>
      <c r="P330" s="401"/>
      <c r="Q330" s="401"/>
      <c r="R330" s="401"/>
      <c r="S330" s="401"/>
      <c r="T330" s="402"/>
      <c r="U330" s="398"/>
      <c r="V330" s="578">
        <v>48</v>
      </c>
      <c r="W330" s="578">
        <v>50</v>
      </c>
      <c r="X330" s="578">
        <v>50</v>
      </c>
      <c r="Y330" s="578">
        <v>49</v>
      </c>
      <c r="Z330" s="578">
        <v>49</v>
      </c>
      <c r="AA330" s="578">
        <v>49</v>
      </c>
      <c r="AB330" s="578">
        <v>48</v>
      </c>
      <c r="AC330" s="578">
        <v>46</v>
      </c>
      <c r="AD330" s="578">
        <v>47</v>
      </c>
      <c r="AE330" s="578">
        <v>46</v>
      </c>
      <c r="AF330" s="578">
        <v>47</v>
      </c>
      <c r="AG330" s="578">
        <v>46</v>
      </c>
    </row>
    <row r="331" spans="1:21" s="103" customFormat="1" ht="12">
      <c r="A331" s="518" t="s">
        <v>307</v>
      </c>
      <c r="B331" s="396" t="s">
        <v>252</v>
      </c>
      <c r="C331" s="397">
        <f>IF(C330="","",C330+0.0007*($F326-20))</f>
        <v>1.2466</v>
      </c>
      <c r="D331" s="397">
        <f aca="true" t="shared" si="125" ref="D331:N331">IF(D330="","",D330+0.0007*($F326-20))</f>
        <v>1.2486</v>
      </c>
      <c r="E331" s="397">
        <f t="shared" si="125"/>
        <v>1.2486</v>
      </c>
      <c r="F331" s="397">
        <f t="shared" si="125"/>
        <v>1.2475999999999998</v>
      </c>
      <c r="G331" s="397">
        <f t="shared" si="125"/>
        <v>1.2475999999999998</v>
      </c>
      <c r="H331" s="397">
        <f t="shared" si="125"/>
        <v>1.2475999999999998</v>
      </c>
      <c r="I331" s="397">
        <f t="shared" si="125"/>
        <v>1.2466</v>
      </c>
      <c r="J331" s="397">
        <f t="shared" si="125"/>
        <v>1.2446</v>
      </c>
      <c r="K331" s="397">
        <f t="shared" si="125"/>
        <v>1.2455999999999998</v>
      </c>
      <c r="L331" s="397">
        <f t="shared" si="125"/>
        <v>1.2446</v>
      </c>
      <c r="M331" s="397">
        <f t="shared" si="125"/>
        <v>1.2455999999999998</v>
      </c>
      <c r="N331" s="514">
        <f t="shared" si="125"/>
        <v>1.2446</v>
      </c>
      <c r="O331" s="400"/>
      <c r="P331" s="401"/>
      <c r="Q331" s="401"/>
      <c r="R331" s="401"/>
      <c r="S331" s="401"/>
      <c r="T331" s="402"/>
      <c r="U331" s="398"/>
    </row>
    <row r="332" spans="1:21" s="103" customFormat="1" ht="12">
      <c r="A332" s="518"/>
      <c r="B332" s="515" t="s">
        <v>182</v>
      </c>
      <c r="C332" s="517">
        <v>1.5</v>
      </c>
      <c r="D332" s="517">
        <v>1.5</v>
      </c>
      <c r="E332" s="517">
        <v>1</v>
      </c>
      <c r="F332" s="517">
        <v>1.1</v>
      </c>
      <c r="G332" s="517">
        <v>1.2</v>
      </c>
      <c r="H332" s="517">
        <v>1.1</v>
      </c>
      <c r="I332" s="517">
        <v>1.2</v>
      </c>
      <c r="J332" s="517">
        <v>1.2</v>
      </c>
      <c r="K332" s="517">
        <v>1.5</v>
      </c>
      <c r="L332" s="517">
        <v>1.3</v>
      </c>
      <c r="M332" s="517">
        <v>1.2</v>
      </c>
      <c r="N332" s="517">
        <v>1.3</v>
      </c>
      <c r="O332" s="400"/>
      <c r="P332" s="401"/>
      <c r="Q332" s="401"/>
      <c r="R332" s="401"/>
      <c r="S332" s="401"/>
      <c r="T332" s="402"/>
      <c r="U332" s="398"/>
    </row>
    <row r="333" spans="1:20" s="266" customFormat="1" ht="6" customHeight="1">
      <c r="A333" s="263"/>
      <c r="B333" s="263"/>
      <c r="C333" s="263"/>
      <c r="D333" s="263"/>
      <c r="E333" s="263"/>
      <c r="F333" s="263"/>
      <c r="G333" s="263"/>
      <c r="H333" s="263"/>
      <c r="I333" s="265"/>
      <c r="J333" s="265"/>
      <c r="K333" s="263"/>
      <c r="L333" s="263"/>
      <c r="M333" s="263"/>
      <c r="N333" s="264"/>
      <c r="O333" s="264"/>
      <c r="P333" s="265"/>
      <c r="Q333" s="265"/>
      <c r="R333" s="263"/>
      <c r="S333" s="263"/>
      <c r="T333" s="263"/>
    </row>
    <row r="334" spans="1:20" s="103" customFormat="1" ht="10.5" customHeight="1">
      <c r="A334" s="598" t="s">
        <v>284</v>
      </c>
      <c r="B334" s="458" t="s">
        <v>285</v>
      </c>
      <c r="C334" s="459"/>
      <c r="D334" s="459"/>
      <c r="E334" s="459"/>
      <c r="F334" s="459"/>
      <c r="G334" s="459"/>
      <c r="H334" s="459"/>
      <c r="I334" s="459"/>
      <c r="J334" s="460"/>
      <c r="K334" s="565" t="s">
        <v>286</v>
      </c>
      <c r="L334" s="458" t="s">
        <v>287</v>
      </c>
      <c r="M334" s="459"/>
      <c r="N334" s="459"/>
      <c r="O334" s="459"/>
      <c r="P334" s="459"/>
      <c r="Q334" s="459"/>
      <c r="R334" s="459"/>
      <c r="S334" s="460"/>
      <c r="T334" s="565" t="s">
        <v>286</v>
      </c>
    </row>
    <row r="335" spans="1:20" s="103" customFormat="1" ht="21.75" customHeight="1">
      <c r="A335" s="599"/>
      <c r="B335" s="601" t="s">
        <v>292</v>
      </c>
      <c r="C335" s="602"/>
      <c r="D335" s="602"/>
      <c r="E335" s="602"/>
      <c r="F335" s="602"/>
      <c r="G335" s="602"/>
      <c r="H335" s="602"/>
      <c r="I335" s="602"/>
      <c r="J335" s="603"/>
      <c r="K335" s="566" t="s">
        <v>286</v>
      </c>
      <c r="L335" s="601" t="s">
        <v>291</v>
      </c>
      <c r="M335" s="602"/>
      <c r="N335" s="602"/>
      <c r="O335" s="602"/>
      <c r="P335" s="602"/>
      <c r="Q335" s="602"/>
      <c r="R335" s="602"/>
      <c r="S335" s="603"/>
      <c r="T335" s="566" t="s">
        <v>286</v>
      </c>
    </row>
    <row r="336" spans="1:20" s="103" customFormat="1" ht="11.25" customHeight="1" thickBot="1">
      <c r="A336" s="600"/>
      <c r="B336" s="492" t="s">
        <v>288</v>
      </c>
      <c r="C336" s="493"/>
      <c r="D336" s="493"/>
      <c r="E336" s="493"/>
      <c r="F336" s="493"/>
      <c r="G336" s="493"/>
      <c r="H336" s="493"/>
      <c r="I336" s="493"/>
      <c r="J336" s="497"/>
      <c r="K336" s="567" t="s">
        <v>392</v>
      </c>
      <c r="L336" s="492" t="s">
        <v>289</v>
      </c>
      <c r="M336" s="493"/>
      <c r="N336" s="493"/>
      <c r="O336" s="493"/>
      <c r="P336" s="493"/>
      <c r="Q336" s="493"/>
      <c r="R336" s="493"/>
      <c r="S336" s="497"/>
      <c r="T336" s="567" t="s">
        <v>286</v>
      </c>
    </row>
    <row r="337" spans="1:20" s="103" customFormat="1" ht="12.75" customHeight="1" thickTop="1">
      <c r="A337" s="521" t="s">
        <v>290</v>
      </c>
      <c r="B337" s="568"/>
      <c r="C337" s="568"/>
      <c r="D337" s="568"/>
      <c r="E337" s="568"/>
      <c r="F337" s="568"/>
      <c r="G337" s="568"/>
      <c r="H337" s="568"/>
      <c r="I337" s="568"/>
      <c r="J337" s="569"/>
      <c r="K337" s="570" t="s">
        <v>60</v>
      </c>
      <c r="L337" s="571" t="s">
        <v>290</v>
      </c>
      <c r="M337" s="568"/>
      <c r="N337" s="568"/>
      <c r="O337" s="568"/>
      <c r="P337" s="568"/>
      <c r="Q337" s="568"/>
      <c r="R337" s="568"/>
      <c r="S337" s="569"/>
      <c r="T337" s="570" t="s">
        <v>60</v>
      </c>
    </row>
    <row r="338" spans="1:21" s="103" customFormat="1" ht="10.5" customHeight="1">
      <c r="A338" s="227"/>
      <c r="B338" s="458" t="s">
        <v>151</v>
      </c>
      <c r="C338" s="459"/>
      <c r="D338" s="459"/>
      <c r="E338" s="459"/>
      <c r="F338" s="489" t="s">
        <v>150</v>
      </c>
      <c r="G338" s="490"/>
      <c r="H338" s="490"/>
      <c r="I338" s="490"/>
      <c r="J338" s="491"/>
      <c r="K338" s="94" t="s">
        <v>62</v>
      </c>
      <c r="L338" s="458" t="s">
        <v>63</v>
      </c>
      <c r="M338" s="459"/>
      <c r="N338" s="460"/>
      <c r="O338" s="489" t="s">
        <v>64</v>
      </c>
      <c r="P338" s="490"/>
      <c r="Q338" s="490"/>
      <c r="R338" s="490"/>
      <c r="S338" s="491"/>
      <c r="T338" s="94" t="s">
        <v>62</v>
      </c>
      <c r="U338" s="403" t="s">
        <v>346</v>
      </c>
    </row>
    <row r="339" spans="1:20" s="103" customFormat="1" ht="10.5" customHeight="1">
      <c r="A339" s="227"/>
      <c r="B339" s="492" t="s">
        <v>293</v>
      </c>
      <c r="C339" s="493"/>
      <c r="D339" s="493"/>
      <c r="E339" s="493"/>
      <c r="F339" s="494" t="s">
        <v>61</v>
      </c>
      <c r="G339" s="495"/>
      <c r="H339" s="495"/>
      <c r="I339" s="495"/>
      <c r="J339" s="496"/>
      <c r="K339" s="95" t="s">
        <v>62</v>
      </c>
      <c r="L339" s="492" t="s">
        <v>5</v>
      </c>
      <c r="M339" s="493"/>
      <c r="N339" s="497"/>
      <c r="O339" s="494" t="s">
        <v>6</v>
      </c>
      <c r="P339" s="495"/>
      <c r="Q339" s="495"/>
      <c r="R339" s="495"/>
      <c r="S339" s="496"/>
      <c r="T339" s="95" t="s">
        <v>62</v>
      </c>
    </row>
    <row r="340" spans="1:20" s="103" customFormat="1" ht="10.5" customHeight="1">
      <c r="A340" s="227" t="s">
        <v>67</v>
      </c>
      <c r="B340" s="492" t="s">
        <v>294</v>
      </c>
      <c r="C340" s="493"/>
      <c r="D340" s="493"/>
      <c r="E340" s="497" t="s">
        <v>83</v>
      </c>
      <c r="F340" s="494" t="s">
        <v>84</v>
      </c>
      <c r="G340" s="495"/>
      <c r="H340" s="495"/>
      <c r="I340" s="495"/>
      <c r="J340" s="496"/>
      <c r="K340" s="95" t="s">
        <v>62</v>
      </c>
      <c r="L340" s="504" t="s">
        <v>152</v>
      </c>
      <c r="M340" s="388"/>
      <c r="N340" s="464"/>
      <c r="O340" s="498" t="s">
        <v>66</v>
      </c>
      <c r="P340" s="499"/>
      <c r="Q340" s="499"/>
      <c r="R340" s="499"/>
      <c r="S340" s="500"/>
      <c r="T340" s="96" t="s">
        <v>62</v>
      </c>
    </row>
    <row r="341" spans="1:20" s="103" customFormat="1" ht="10.5" customHeight="1">
      <c r="A341" s="227" t="s">
        <v>69</v>
      </c>
      <c r="B341" s="492" t="s">
        <v>153</v>
      </c>
      <c r="C341" s="493"/>
      <c r="D341" s="493"/>
      <c r="E341" s="493"/>
      <c r="F341" s="494" t="s">
        <v>154</v>
      </c>
      <c r="G341" s="495"/>
      <c r="H341" s="495"/>
      <c r="I341" s="495"/>
      <c r="J341" s="496"/>
      <c r="K341" s="95" t="s">
        <v>62</v>
      </c>
      <c r="L341" s="504" t="s">
        <v>155</v>
      </c>
      <c r="M341" s="388"/>
      <c r="N341" s="464"/>
      <c r="O341" s="498" t="s">
        <v>68</v>
      </c>
      <c r="P341" s="499"/>
      <c r="Q341" s="499"/>
      <c r="R341" s="499"/>
      <c r="S341" s="500"/>
      <c r="T341" s="96" t="s">
        <v>62</v>
      </c>
    </row>
    <row r="342" spans="1:20" s="103" customFormat="1" ht="10.5" customHeight="1">
      <c r="A342" s="227" t="s">
        <v>0</v>
      </c>
      <c r="B342" s="493" t="s">
        <v>3</v>
      </c>
      <c r="C342" s="493"/>
      <c r="D342" s="493"/>
      <c r="E342" s="497" t="s">
        <v>295</v>
      </c>
      <c r="F342" s="494" t="s">
        <v>65</v>
      </c>
      <c r="G342" s="495"/>
      <c r="H342" s="495"/>
      <c r="I342" s="495"/>
      <c r="J342" s="496"/>
      <c r="K342" s="95" t="s">
        <v>62</v>
      </c>
      <c r="L342" s="492" t="s">
        <v>304</v>
      </c>
      <c r="M342" s="493"/>
      <c r="N342" s="497"/>
      <c r="O342" s="494" t="s">
        <v>303</v>
      </c>
      <c r="P342" s="495"/>
      <c r="Q342" s="495"/>
      <c r="R342" s="495"/>
      <c r="S342" s="496"/>
      <c r="T342" s="614" t="s">
        <v>62</v>
      </c>
    </row>
    <row r="343" spans="1:20" s="103" customFormat="1" ht="10.5" customHeight="1">
      <c r="A343" s="227" t="s">
        <v>77</v>
      </c>
      <c r="B343" s="388" t="s">
        <v>70</v>
      </c>
      <c r="C343" s="388"/>
      <c r="D343" s="388"/>
      <c r="E343" s="464" t="s">
        <v>71</v>
      </c>
      <c r="F343" s="498" t="s">
        <v>72</v>
      </c>
      <c r="G343" s="499"/>
      <c r="H343" s="499"/>
      <c r="I343" s="499"/>
      <c r="J343" s="500"/>
      <c r="K343" s="96" t="s">
        <v>62</v>
      </c>
      <c r="L343" s="508"/>
      <c r="M343" s="509"/>
      <c r="N343" s="510" t="s">
        <v>76</v>
      </c>
      <c r="O343" s="511" t="s">
        <v>302</v>
      </c>
      <c r="P343" s="512"/>
      <c r="Q343" s="512"/>
      <c r="R343" s="512"/>
      <c r="S343" s="513"/>
      <c r="T343" s="616"/>
    </row>
    <row r="344" spans="1:20" s="103" customFormat="1" ht="10.5" customHeight="1">
      <c r="A344" s="227" t="s">
        <v>78</v>
      </c>
      <c r="B344" s="388" t="s">
        <v>73</v>
      </c>
      <c r="C344" s="388"/>
      <c r="D344" s="388"/>
      <c r="E344" s="464" t="s">
        <v>74</v>
      </c>
      <c r="F344" s="498" t="s">
        <v>75</v>
      </c>
      <c r="G344" s="499"/>
      <c r="H344" s="499"/>
      <c r="I344" s="499"/>
      <c r="J344" s="500"/>
      <c r="K344" s="96" t="s">
        <v>62</v>
      </c>
      <c r="L344" s="492" t="s">
        <v>156</v>
      </c>
      <c r="M344" s="493"/>
      <c r="N344" s="497"/>
      <c r="O344" s="494" t="s">
        <v>299</v>
      </c>
      <c r="P344" s="495"/>
      <c r="Q344" s="495"/>
      <c r="R344" s="495"/>
      <c r="S344" s="496"/>
      <c r="T344" s="96" t="s">
        <v>62</v>
      </c>
    </row>
    <row r="345" spans="1:20" s="103" customFormat="1" ht="10.5" customHeight="1">
      <c r="A345" s="227"/>
      <c r="B345" s="388" t="s">
        <v>4</v>
      </c>
      <c r="C345" s="388"/>
      <c r="D345" s="388"/>
      <c r="E345" s="464" t="s">
        <v>79</v>
      </c>
      <c r="F345" s="498" t="s">
        <v>72</v>
      </c>
      <c r="G345" s="499"/>
      <c r="H345" s="499"/>
      <c r="I345" s="499"/>
      <c r="J345" s="500"/>
      <c r="K345" s="96" t="s">
        <v>157</v>
      </c>
      <c r="L345" s="504" t="s">
        <v>300</v>
      </c>
      <c r="M345" s="388"/>
      <c r="N345" s="464"/>
      <c r="O345" s="498" t="s">
        <v>80</v>
      </c>
      <c r="P345" s="499"/>
      <c r="Q345" s="499"/>
      <c r="R345" s="499"/>
      <c r="S345" s="500"/>
      <c r="T345" s="96" t="s">
        <v>62</v>
      </c>
    </row>
    <row r="346" spans="1:20" s="103" customFormat="1" ht="10.5" customHeight="1">
      <c r="A346" s="227"/>
      <c r="B346" s="388" t="s">
        <v>296</v>
      </c>
      <c r="C346" s="388"/>
      <c r="D346" s="388"/>
      <c r="E346" s="464"/>
      <c r="F346" s="498" t="s">
        <v>72</v>
      </c>
      <c r="G346" s="499"/>
      <c r="H346" s="499"/>
      <c r="I346" s="499"/>
      <c r="J346" s="500"/>
      <c r="K346" s="96" t="s">
        <v>157</v>
      </c>
      <c r="L346" s="504" t="s">
        <v>81</v>
      </c>
      <c r="M346" s="388"/>
      <c r="N346" s="464"/>
      <c r="O346" s="498" t="s">
        <v>82</v>
      </c>
      <c r="P346" s="499"/>
      <c r="Q346" s="499"/>
      <c r="R346" s="499"/>
      <c r="S346" s="500"/>
      <c r="T346" s="96" t="s">
        <v>62</v>
      </c>
    </row>
    <row r="347" spans="1:20" s="103" customFormat="1" ht="10.5" customHeight="1">
      <c r="A347" s="227"/>
      <c r="B347" s="493" t="s">
        <v>297</v>
      </c>
      <c r="C347" s="493"/>
      <c r="D347" s="493"/>
      <c r="E347" s="497"/>
      <c r="F347" s="494" t="s">
        <v>72</v>
      </c>
      <c r="G347" s="495"/>
      <c r="H347" s="495"/>
      <c r="I347" s="495"/>
      <c r="J347" s="496"/>
      <c r="K347" s="95" t="s">
        <v>194</v>
      </c>
      <c r="L347" s="492" t="s">
        <v>7</v>
      </c>
      <c r="M347" s="493"/>
      <c r="N347" s="497"/>
      <c r="O347" s="494" t="s">
        <v>8</v>
      </c>
      <c r="P347" s="495"/>
      <c r="Q347" s="495"/>
      <c r="R347" s="495"/>
      <c r="S347" s="496"/>
      <c r="T347" s="95" t="s">
        <v>62</v>
      </c>
    </row>
    <row r="348" spans="1:20" s="103" customFormat="1" ht="10.5" customHeight="1">
      <c r="A348" s="234"/>
      <c r="B348" s="501"/>
      <c r="C348" s="459"/>
      <c r="D348" s="459"/>
      <c r="E348" s="459"/>
      <c r="F348" s="489" t="s">
        <v>183</v>
      </c>
      <c r="G348" s="490"/>
      <c r="H348" s="490"/>
      <c r="I348" s="490"/>
      <c r="J348" s="491"/>
      <c r="K348" s="94" t="s">
        <v>184</v>
      </c>
      <c r="L348" s="458" t="s">
        <v>301</v>
      </c>
      <c r="M348" s="459"/>
      <c r="N348" s="460"/>
      <c r="O348" s="489" t="s">
        <v>9</v>
      </c>
      <c r="P348" s="490"/>
      <c r="Q348" s="490"/>
      <c r="R348" s="490"/>
      <c r="S348" s="491"/>
      <c r="T348" s="94" t="s">
        <v>158</v>
      </c>
    </row>
    <row r="349" spans="1:20" s="103" customFormat="1" ht="10.5" customHeight="1">
      <c r="A349" s="227" t="s">
        <v>85</v>
      </c>
      <c r="B349" s="502" t="s">
        <v>86</v>
      </c>
      <c r="C349" s="388" t="s">
        <v>87</v>
      </c>
      <c r="D349" s="388"/>
      <c r="E349" s="388"/>
      <c r="F349" s="498" t="s">
        <v>88</v>
      </c>
      <c r="G349" s="499"/>
      <c r="H349" s="499"/>
      <c r="I349" s="499"/>
      <c r="J349" s="500"/>
      <c r="K349" s="96" t="s">
        <v>62</v>
      </c>
      <c r="L349" s="504" t="s">
        <v>89</v>
      </c>
      <c r="M349" s="388"/>
      <c r="N349" s="464"/>
      <c r="O349" s="498" t="s">
        <v>90</v>
      </c>
      <c r="P349" s="499"/>
      <c r="Q349" s="499"/>
      <c r="R349" s="499"/>
      <c r="S349" s="500"/>
      <c r="T349" s="96" t="s">
        <v>62</v>
      </c>
    </row>
    <row r="350" spans="1:20" s="103" customFormat="1" ht="10.5" customHeight="1">
      <c r="A350" s="227" t="s">
        <v>91</v>
      </c>
      <c r="B350" s="502" t="s">
        <v>92</v>
      </c>
      <c r="C350" s="388" t="s">
        <v>93</v>
      </c>
      <c r="D350" s="388"/>
      <c r="E350" s="388"/>
      <c r="F350" s="498" t="s">
        <v>88</v>
      </c>
      <c r="G350" s="499"/>
      <c r="H350" s="499"/>
      <c r="I350" s="499"/>
      <c r="J350" s="500"/>
      <c r="K350" s="96" t="s">
        <v>62</v>
      </c>
      <c r="L350" s="504" t="s">
        <v>94</v>
      </c>
      <c r="M350" s="388"/>
      <c r="N350" s="464"/>
      <c r="O350" s="498" t="s">
        <v>95</v>
      </c>
      <c r="P350" s="499"/>
      <c r="Q350" s="499"/>
      <c r="R350" s="499"/>
      <c r="S350" s="500"/>
      <c r="T350" s="96" t="s">
        <v>62</v>
      </c>
    </row>
    <row r="351" spans="1:20" s="103" customFormat="1" ht="10.5" customHeight="1">
      <c r="A351" s="227" t="s">
        <v>77</v>
      </c>
      <c r="B351" s="503"/>
      <c r="C351" s="388" t="s">
        <v>159</v>
      </c>
      <c r="D351" s="388"/>
      <c r="E351" s="388" t="s">
        <v>298</v>
      </c>
      <c r="F351" s="498" t="s">
        <v>88</v>
      </c>
      <c r="G351" s="499"/>
      <c r="H351" s="499"/>
      <c r="I351" s="499"/>
      <c r="J351" s="500"/>
      <c r="K351" s="96" t="s">
        <v>62</v>
      </c>
      <c r="L351" s="504" t="s">
        <v>96</v>
      </c>
      <c r="M351" s="388"/>
      <c r="N351" s="464"/>
      <c r="O351" s="498" t="s">
        <v>10</v>
      </c>
      <c r="P351" s="499"/>
      <c r="Q351" s="499"/>
      <c r="R351" s="499"/>
      <c r="S351" s="500"/>
      <c r="T351" s="96" t="s">
        <v>157</v>
      </c>
    </row>
    <row r="352" spans="1:20" s="103" customFormat="1" ht="10.5" customHeight="1">
      <c r="A352" s="227" t="s">
        <v>78</v>
      </c>
      <c r="B352" s="504" t="s">
        <v>98</v>
      </c>
      <c r="C352" s="388"/>
      <c r="D352" s="388"/>
      <c r="E352" s="388"/>
      <c r="F352" s="498" t="s">
        <v>99</v>
      </c>
      <c r="G352" s="499"/>
      <c r="H352" s="499"/>
      <c r="I352" s="499"/>
      <c r="J352" s="500"/>
      <c r="K352" s="96" t="s">
        <v>62</v>
      </c>
      <c r="L352" s="504" t="s">
        <v>100</v>
      </c>
      <c r="M352" s="388"/>
      <c r="N352" s="464"/>
      <c r="O352" s="498" t="s">
        <v>101</v>
      </c>
      <c r="P352" s="499"/>
      <c r="Q352" s="499"/>
      <c r="R352" s="499"/>
      <c r="S352" s="500"/>
      <c r="T352" s="96" t="s">
        <v>97</v>
      </c>
    </row>
    <row r="353" spans="1:20" s="103" customFormat="1" ht="10.5" customHeight="1">
      <c r="A353" s="231"/>
      <c r="B353" s="461" t="s">
        <v>102</v>
      </c>
      <c r="C353" s="462"/>
      <c r="D353" s="462"/>
      <c r="E353" s="462"/>
      <c r="F353" s="505" t="s">
        <v>103</v>
      </c>
      <c r="G353" s="506"/>
      <c r="H353" s="506"/>
      <c r="I353" s="506"/>
      <c r="J353" s="507"/>
      <c r="K353" s="97" t="s">
        <v>62</v>
      </c>
      <c r="L353" s="461" t="s">
        <v>104</v>
      </c>
      <c r="M353" s="462"/>
      <c r="N353" s="463"/>
      <c r="O353" s="505" t="s">
        <v>10</v>
      </c>
      <c r="P353" s="506"/>
      <c r="Q353" s="506"/>
      <c r="R353" s="506"/>
      <c r="S353" s="507"/>
      <c r="T353" s="97" t="s">
        <v>62</v>
      </c>
    </row>
    <row r="354" spans="1:22" ht="10.5" customHeight="1">
      <c r="A354" s="28" t="s">
        <v>105</v>
      </c>
      <c r="B354" s="465"/>
      <c r="C354" s="467" t="s">
        <v>106</v>
      </c>
      <c r="D354" s="40"/>
      <c r="E354" s="468"/>
      <c r="F354" s="469" t="s">
        <v>107</v>
      </c>
      <c r="G354" s="40"/>
      <c r="H354" s="40"/>
      <c r="I354" s="40"/>
      <c r="J354" s="468"/>
      <c r="K354" s="96" t="s">
        <v>62</v>
      </c>
      <c r="L354" s="470" t="s">
        <v>172</v>
      </c>
      <c r="M354" s="471"/>
      <c r="N354" s="472"/>
      <c r="O354" s="469" t="s">
        <v>175</v>
      </c>
      <c r="P354" s="40"/>
      <c r="Q354" s="40"/>
      <c r="R354" s="40"/>
      <c r="S354" s="468"/>
      <c r="T354" s="94" t="s">
        <v>158</v>
      </c>
      <c r="U354" s="246" t="s">
        <v>169</v>
      </c>
      <c r="V354" s="418" t="s">
        <v>263</v>
      </c>
    </row>
    <row r="355" spans="1:22" ht="10.5" customHeight="1">
      <c r="A355" s="52"/>
      <c r="B355" s="162" t="s">
        <v>108</v>
      </c>
      <c r="C355" s="470" t="s">
        <v>109</v>
      </c>
      <c r="D355" s="471"/>
      <c r="E355" s="472"/>
      <c r="F355" s="473" t="s">
        <v>110</v>
      </c>
      <c r="G355" s="471"/>
      <c r="H355" s="471"/>
      <c r="I355" s="471"/>
      <c r="J355" s="472"/>
      <c r="K355" s="96" t="s">
        <v>62</v>
      </c>
      <c r="L355" s="480" t="s">
        <v>111</v>
      </c>
      <c r="M355" s="481"/>
      <c r="N355" s="482"/>
      <c r="O355" s="483" t="s">
        <v>171</v>
      </c>
      <c r="P355" s="481"/>
      <c r="Q355" s="633">
        <f ca="1">IF(INDIRECT(U355)&gt;"a","(85ℓ 超)",INDIRECT(U355)*85)</f>
        <v>0</v>
      </c>
      <c r="R355" s="633"/>
      <c r="S355" s="484"/>
      <c r="T355" s="614" t="s">
        <v>184</v>
      </c>
      <c r="U355" s="246" t="str">
        <f>"t"&amp;$V$3+1</f>
        <v>t95</v>
      </c>
      <c r="V355" s="418" t="s">
        <v>264</v>
      </c>
    </row>
    <row r="356" spans="1:20" ht="10.5" customHeight="1">
      <c r="A356" s="84"/>
      <c r="B356" s="466"/>
      <c r="C356" s="474" t="s">
        <v>124</v>
      </c>
      <c r="D356" s="475"/>
      <c r="E356" s="476"/>
      <c r="F356" s="477" t="s">
        <v>125</v>
      </c>
      <c r="G356" s="478"/>
      <c r="H356" s="478"/>
      <c r="I356" s="478"/>
      <c r="J356" s="479"/>
      <c r="K356" s="97" t="s">
        <v>62</v>
      </c>
      <c r="L356" s="485"/>
      <c r="M356" s="486"/>
      <c r="N356" s="579" t="s">
        <v>376</v>
      </c>
      <c r="O356" s="488" t="s">
        <v>149</v>
      </c>
      <c r="P356" s="486"/>
      <c r="Q356" s="486"/>
      <c r="R356" s="486"/>
      <c r="S356" s="487"/>
      <c r="T356" s="615"/>
    </row>
    <row r="357" spans="1:20" ht="10.5" customHeight="1">
      <c r="A357" s="21"/>
      <c r="C357" s="27"/>
      <c r="D357" s="27"/>
      <c r="E357" s="27"/>
      <c r="F357" s="43"/>
      <c r="G357" s="284"/>
      <c r="H357" s="284"/>
      <c r="I357" s="284"/>
      <c r="J357" s="284"/>
      <c r="K357" s="284"/>
      <c r="L357" s="27"/>
      <c r="M357" s="27"/>
      <c r="N357" s="43"/>
      <c r="O357" s="43"/>
      <c r="P357" s="43"/>
      <c r="Q357" s="43"/>
      <c r="R357" s="43"/>
      <c r="S357" s="190"/>
      <c r="T357" s="190"/>
    </row>
    <row r="358" spans="1:20" s="103" customFormat="1" ht="13.5" customHeight="1">
      <c r="A358" s="234"/>
      <c r="B358" s="415" t="s">
        <v>387</v>
      </c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446" t="s">
        <v>276</v>
      </c>
      <c r="S358" s="447"/>
      <c r="T358" s="448"/>
    </row>
    <row r="359" spans="1:20" s="103" customFormat="1" ht="13.5" customHeight="1">
      <c r="A359" s="227" t="s">
        <v>176</v>
      </c>
      <c r="B359" s="572" t="s">
        <v>214</v>
      </c>
      <c r="C359" s="47" t="s">
        <v>386</v>
      </c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49" t="s">
        <v>277</v>
      </c>
      <c r="S359" s="450"/>
      <c r="T359" s="451"/>
    </row>
    <row r="360" spans="1:20" s="103" customFormat="1" ht="13.5" customHeight="1">
      <c r="A360" s="227"/>
      <c r="B360" s="416"/>
      <c r="C360" s="285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52" t="s">
        <v>278</v>
      </c>
      <c r="S360" s="452" t="s">
        <v>279</v>
      </c>
      <c r="T360" s="453" t="s">
        <v>280</v>
      </c>
    </row>
    <row r="361" spans="1:20" s="103" customFormat="1" ht="13.5" customHeight="1">
      <c r="A361" s="227" t="s">
        <v>177</v>
      </c>
      <c r="B361" s="304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56">
        <f>S361</f>
        <v>41219</v>
      </c>
      <c r="S361" s="454">
        <f>IF('メモ票'!I17="","",'メモ票'!I17)</f>
        <v>41219</v>
      </c>
      <c r="T361" s="455">
        <v>41368</v>
      </c>
    </row>
    <row r="362" spans="1:20" s="103" customFormat="1" ht="13.5" customHeight="1">
      <c r="A362" s="227"/>
      <c r="B362" s="304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283"/>
    </row>
    <row r="363" spans="1:20" s="103" customFormat="1" ht="13.5" customHeight="1">
      <c r="A363" s="227" t="s">
        <v>178</v>
      </c>
      <c r="B363" s="422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283"/>
    </row>
    <row r="364" spans="1:20" s="103" customFormat="1" ht="13.5" customHeight="1">
      <c r="A364" s="227"/>
      <c r="B364" s="304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283"/>
    </row>
    <row r="365" spans="1:20" s="103" customFormat="1" ht="13.5" customHeight="1">
      <c r="A365" s="227" t="s">
        <v>179</v>
      </c>
      <c r="B365" s="304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283"/>
    </row>
    <row r="366" spans="1:20" s="103" customFormat="1" ht="13.5" customHeight="1">
      <c r="A366" s="227"/>
      <c r="B366" s="304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283"/>
    </row>
    <row r="367" spans="1:20" s="103" customFormat="1" ht="13.5" customHeight="1">
      <c r="A367" s="227"/>
      <c r="B367" s="304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283"/>
    </row>
    <row r="368" spans="1:20" s="103" customFormat="1" ht="13.5" customHeight="1">
      <c r="A368" s="231"/>
      <c r="B368" s="417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9"/>
    </row>
    <row r="369" spans="1:3" s="195" customFormat="1" ht="13.5" customHeight="1">
      <c r="A369" s="193"/>
      <c r="B369" s="193" t="s">
        <v>112</v>
      </c>
      <c r="C369" s="194"/>
    </row>
  </sheetData>
  <sheetProtection/>
  <mergeCells count="763">
    <mergeCell ref="C95:D95"/>
    <mergeCell ref="E95:F95"/>
    <mergeCell ref="K14:L14"/>
    <mergeCell ref="M14:N14"/>
    <mergeCell ref="C39:D39"/>
    <mergeCell ref="E39:F39"/>
    <mergeCell ref="G39:H39"/>
    <mergeCell ref="I39:J39"/>
    <mergeCell ref="M53:N53"/>
    <mergeCell ref="I71:J71"/>
    <mergeCell ref="O14:P14"/>
    <mergeCell ref="Q14:R14"/>
    <mergeCell ref="C14:D14"/>
    <mergeCell ref="E14:F14"/>
    <mergeCell ref="G14:H14"/>
    <mergeCell ref="I14:J14"/>
    <mergeCell ref="C96:D96"/>
    <mergeCell ref="E96:F96"/>
    <mergeCell ref="K15:L15"/>
    <mergeCell ref="M15:N15"/>
    <mergeCell ref="C38:D38"/>
    <mergeCell ref="E38:F38"/>
    <mergeCell ref="G38:H38"/>
    <mergeCell ref="I38:J38"/>
    <mergeCell ref="K39:L39"/>
    <mergeCell ref="M39:N39"/>
    <mergeCell ref="O15:P15"/>
    <mergeCell ref="Q15:R15"/>
    <mergeCell ref="C15:D15"/>
    <mergeCell ref="E15:F15"/>
    <mergeCell ref="G15:H15"/>
    <mergeCell ref="I15:J15"/>
    <mergeCell ref="C97:D97"/>
    <mergeCell ref="E97:F97"/>
    <mergeCell ref="K16:L16"/>
    <mergeCell ref="M16:N16"/>
    <mergeCell ref="I80:J80"/>
    <mergeCell ref="K81:L81"/>
    <mergeCell ref="K72:L72"/>
    <mergeCell ref="I83:J83"/>
    <mergeCell ref="I73:J73"/>
    <mergeCell ref="K76:L76"/>
    <mergeCell ref="O16:P16"/>
    <mergeCell ref="Q16:R16"/>
    <mergeCell ref="C16:D16"/>
    <mergeCell ref="E16:F16"/>
    <mergeCell ref="G16:H16"/>
    <mergeCell ref="I16:J16"/>
    <mergeCell ref="O17:P17"/>
    <mergeCell ref="Q17:R17"/>
    <mergeCell ref="C17:D17"/>
    <mergeCell ref="E17:F17"/>
    <mergeCell ref="G17:H17"/>
    <mergeCell ref="I17:J17"/>
    <mergeCell ref="K17:L17"/>
    <mergeCell ref="M17:N17"/>
    <mergeCell ref="C99:D99"/>
    <mergeCell ref="E99:F99"/>
    <mergeCell ref="K18:L18"/>
    <mergeCell ref="M18:N18"/>
    <mergeCell ref="C71:D71"/>
    <mergeCell ref="E71:F71"/>
    <mergeCell ref="I81:J81"/>
    <mergeCell ref="I82:J82"/>
    <mergeCell ref="I84:J84"/>
    <mergeCell ref="C98:D98"/>
    <mergeCell ref="O18:P18"/>
    <mergeCell ref="Q18:R18"/>
    <mergeCell ref="C18:D18"/>
    <mergeCell ref="E18:F18"/>
    <mergeCell ref="G18:H18"/>
    <mergeCell ref="I18:J18"/>
    <mergeCell ref="C100:D100"/>
    <mergeCell ref="E100:F100"/>
    <mergeCell ref="K19:L19"/>
    <mergeCell ref="M19:N19"/>
    <mergeCell ref="C89:D89"/>
    <mergeCell ref="C78:D78"/>
    <mergeCell ref="G71:H71"/>
    <mergeCell ref="C72:D72"/>
    <mergeCell ref="E72:F72"/>
    <mergeCell ref="G72:H72"/>
    <mergeCell ref="O19:P19"/>
    <mergeCell ref="Q19:R19"/>
    <mergeCell ref="C19:D19"/>
    <mergeCell ref="E19:F19"/>
    <mergeCell ref="G19:H19"/>
    <mergeCell ref="I19:J19"/>
    <mergeCell ref="C101:D101"/>
    <mergeCell ref="E101:F101"/>
    <mergeCell ref="K20:L20"/>
    <mergeCell ref="M20:N20"/>
    <mergeCell ref="C88:D88"/>
    <mergeCell ref="C80:D80"/>
    <mergeCell ref="C82:D82"/>
    <mergeCell ref="C81:D81"/>
    <mergeCell ref="C84:D84"/>
    <mergeCell ref="C85:D85"/>
    <mergeCell ref="Q20:R20"/>
    <mergeCell ref="C20:D20"/>
    <mergeCell ref="E20:F20"/>
    <mergeCell ref="G20:H20"/>
    <mergeCell ref="I20:J20"/>
    <mergeCell ref="C76:D76"/>
    <mergeCell ref="G76:H76"/>
    <mergeCell ref="G81:H81"/>
    <mergeCell ref="O20:P20"/>
    <mergeCell ref="K38:L38"/>
    <mergeCell ref="M38:N38"/>
    <mergeCell ref="I79:J79"/>
    <mergeCell ref="E113:F113"/>
    <mergeCell ref="K32:L32"/>
    <mergeCell ref="M32:N32"/>
    <mergeCell ref="E84:F84"/>
    <mergeCell ref="G84:H84"/>
    <mergeCell ref="G83:H83"/>
    <mergeCell ref="E98:F98"/>
    <mergeCell ref="O32:P32"/>
    <mergeCell ref="Q32:R32"/>
    <mergeCell ref="C32:D32"/>
    <mergeCell ref="E32:F32"/>
    <mergeCell ref="G32:H32"/>
    <mergeCell ref="I32:J32"/>
    <mergeCell ref="C114:D114"/>
    <mergeCell ref="E114:F114"/>
    <mergeCell ref="K33:L33"/>
    <mergeCell ref="M33:N33"/>
    <mergeCell ref="E82:F82"/>
    <mergeCell ref="E89:F89"/>
    <mergeCell ref="E87:F87"/>
    <mergeCell ref="E88:F88"/>
    <mergeCell ref="G82:H82"/>
    <mergeCell ref="C113:D113"/>
    <mergeCell ref="O33:P33"/>
    <mergeCell ref="Q33:R33"/>
    <mergeCell ref="C33:D33"/>
    <mergeCell ref="E33:F33"/>
    <mergeCell ref="G33:H33"/>
    <mergeCell ref="I33:J33"/>
    <mergeCell ref="C115:D115"/>
    <mergeCell ref="E115:F115"/>
    <mergeCell ref="K34:L34"/>
    <mergeCell ref="M34:N34"/>
    <mergeCell ref="C83:D83"/>
    <mergeCell ref="C87:D87"/>
    <mergeCell ref="C79:D79"/>
    <mergeCell ref="C86:D86"/>
    <mergeCell ref="E81:F81"/>
    <mergeCell ref="E83:F83"/>
    <mergeCell ref="O34:P34"/>
    <mergeCell ref="Q34:R34"/>
    <mergeCell ref="C34:D34"/>
    <mergeCell ref="E34:F34"/>
    <mergeCell ref="G34:H34"/>
    <mergeCell ref="I34:J34"/>
    <mergeCell ref="O35:P35"/>
    <mergeCell ref="Q35:R35"/>
    <mergeCell ref="C35:D35"/>
    <mergeCell ref="E35:F35"/>
    <mergeCell ref="G35:H35"/>
    <mergeCell ref="I35:J35"/>
    <mergeCell ref="K35:L35"/>
    <mergeCell ref="M35:N35"/>
    <mergeCell ref="O36:P36"/>
    <mergeCell ref="Q36:R36"/>
    <mergeCell ref="C36:D36"/>
    <mergeCell ref="E36:F36"/>
    <mergeCell ref="G36:H36"/>
    <mergeCell ref="I36:J36"/>
    <mergeCell ref="K36:L36"/>
    <mergeCell ref="M36:N36"/>
    <mergeCell ref="O37:P37"/>
    <mergeCell ref="Q37:R37"/>
    <mergeCell ref="C37:D37"/>
    <mergeCell ref="E37:F37"/>
    <mergeCell ref="G37:H37"/>
    <mergeCell ref="I37:J37"/>
    <mergeCell ref="K37:L37"/>
    <mergeCell ref="M37:N37"/>
    <mergeCell ref="O40:P40"/>
    <mergeCell ref="Q40:R40"/>
    <mergeCell ref="K40:L40"/>
    <mergeCell ref="O38:P38"/>
    <mergeCell ref="Q38:R38"/>
    <mergeCell ref="O39:P39"/>
    <mergeCell ref="Q39:R39"/>
    <mergeCell ref="K53:L53"/>
    <mergeCell ref="K71:L71"/>
    <mergeCell ref="K69:L69"/>
    <mergeCell ref="I60:J60"/>
    <mergeCell ref="I59:J59"/>
    <mergeCell ref="C59:D59"/>
    <mergeCell ref="C52:D52"/>
    <mergeCell ref="C62:D62"/>
    <mergeCell ref="C54:D54"/>
    <mergeCell ref="C55:D55"/>
    <mergeCell ref="C40:D40"/>
    <mergeCell ref="E40:F40"/>
    <mergeCell ref="G40:H40"/>
    <mergeCell ref="I40:J40"/>
    <mergeCell ref="Q53:R53"/>
    <mergeCell ref="C134:D134"/>
    <mergeCell ref="E134:F134"/>
    <mergeCell ref="Q74:R74"/>
    <mergeCell ref="K74:L74"/>
    <mergeCell ref="M74:N74"/>
    <mergeCell ref="C53:D53"/>
    <mergeCell ref="E53:F53"/>
    <mergeCell ref="I72:J72"/>
    <mergeCell ref="G53:H53"/>
    <mergeCell ref="O53:P53"/>
    <mergeCell ref="O72:P72"/>
    <mergeCell ref="M72:N72"/>
    <mergeCell ref="O67:P67"/>
    <mergeCell ref="O64:P64"/>
    <mergeCell ref="O63:P63"/>
    <mergeCell ref="M64:N64"/>
    <mergeCell ref="O66:P66"/>
    <mergeCell ref="M60:N60"/>
    <mergeCell ref="M71:N71"/>
    <mergeCell ref="R3:S3"/>
    <mergeCell ref="O73:P73"/>
    <mergeCell ref="M76:N76"/>
    <mergeCell ref="Q76:R76"/>
    <mergeCell ref="M70:N70"/>
    <mergeCell ref="Q66:R66"/>
    <mergeCell ref="O65:P65"/>
    <mergeCell ref="Q62:R62"/>
    <mergeCell ref="Q64:R64"/>
    <mergeCell ref="M40:N40"/>
    <mergeCell ref="Q73:R73"/>
    <mergeCell ref="K73:L73"/>
    <mergeCell ref="O75:P75"/>
    <mergeCell ref="K75:L75"/>
    <mergeCell ref="Q75:R75"/>
    <mergeCell ref="O74:P74"/>
    <mergeCell ref="M73:N73"/>
    <mergeCell ref="O76:P76"/>
    <mergeCell ref="G78:H78"/>
    <mergeCell ref="G79:H79"/>
    <mergeCell ref="E79:F79"/>
    <mergeCell ref="O78:P78"/>
    <mergeCell ref="M79:N79"/>
    <mergeCell ref="M78:N78"/>
    <mergeCell ref="O79:P79"/>
    <mergeCell ref="I78:J78"/>
    <mergeCell ref="K78:L78"/>
    <mergeCell ref="O89:P89"/>
    <mergeCell ref="Q86:R86"/>
    <mergeCell ref="Q89:R89"/>
    <mergeCell ref="K88:L88"/>
    <mergeCell ref="K89:L89"/>
    <mergeCell ref="E136:F136"/>
    <mergeCell ref="E156:F156"/>
    <mergeCell ref="Q355:R355"/>
    <mergeCell ref="E85:F85"/>
    <mergeCell ref="G85:H85"/>
    <mergeCell ref="I87:J87"/>
    <mergeCell ref="I85:J85"/>
    <mergeCell ref="O86:P86"/>
    <mergeCell ref="M86:N86"/>
    <mergeCell ref="M89:N89"/>
    <mergeCell ref="E153:F153"/>
    <mergeCell ref="E159:F159"/>
    <mergeCell ref="E158:F158"/>
    <mergeCell ref="E137:F137"/>
    <mergeCell ref="C148:D148"/>
    <mergeCell ref="E150:F150"/>
    <mergeCell ref="C163:D163"/>
    <mergeCell ref="E152:F152"/>
    <mergeCell ref="C160:D160"/>
    <mergeCell ref="C162:D162"/>
    <mergeCell ref="E151:F151"/>
    <mergeCell ref="E154:F154"/>
    <mergeCell ref="C161:D161"/>
    <mergeCell ref="E155:F155"/>
    <mergeCell ref="E117:F117"/>
    <mergeCell ref="E116:F116"/>
    <mergeCell ref="E121:F121"/>
    <mergeCell ref="E163:F163"/>
    <mergeCell ref="E157:F157"/>
    <mergeCell ref="E162:F162"/>
    <mergeCell ref="E161:F161"/>
    <mergeCell ref="E160:F160"/>
    <mergeCell ref="E130:F130"/>
    <mergeCell ref="E141:F141"/>
    <mergeCell ref="T355:T356"/>
    <mergeCell ref="T342:T343"/>
    <mergeCell ref="A2:C3"/>
    <mergeCell ref="K5:L5"/>
    <mergeCell ref="C6:D6"/>
    <mergeCell ref="K6:L6"/>
    <mergeCell ref="C77:D77"/>
    <mergeCell ref="I75:J75"/>
    <mergeCell ref="K86:L86"/>
    <mergeCell ref="D2:L3"/>
    <mergeCell ref="C152:D152"/>
    <mergeCell ref="C168:D168"/>
    <mergeCell ref="E166:F166"/>
    <mergeCell ref="E165:F165"/>
    <mergeCell ref="C167:D167"/>
    <mergeCell ref="E167:F167"/>
    <mergeCell ref="E168:F168"/>
    <mergeCell ref="C159:D159"/>
    <mergeCell ref="E164:F164"/>
    <mergeCell ref="C164:D164"/>
    <mergeCell ref="C158:D158"/>
    <mergeCell ref="C166:D166"/>
    <mergeCell ref="C153:D153"/>
    <mergeCell ref="C154:D154"/>
    <mergeCell ref="C165:D165"/>
    <mergeCell ref="C157:D157"/>
    <mergeCell ref="C151:D151"/>
    <mergeCell ref="C137:D137"/>
    <mergeCell ref="C93:D94"/>
    <mergeCell ref="C121:D121"/>
    <mergeCell ref="C120:D120"/>
    <mergeCell ref="C119:D119"/>
    <mergeCell ref="C118:D118"/>
    <mergeCell ref="C117:D117"/>
    <mergeCell ref="C116:D116"/>
    <mergeCell ref="C141:D141"/>
    <mergeCell ref="C156:D156"/>
    <mergeCell ref="E94:F94"/>
    <mergeCell ref="C139:D139"/>
    <mergeCell ref="C138:D138"/>
    <mergeCell ref="E139:F139"/>
    <mergeCell ref="E138:F138"/>
    <mergeCell ref="C150:D150"/>
    <mergeCell ref="C155:D155"/>
    <mergeCell ref="E147:F147"/>
    <mergeCell ref="E120:F120"/>
    <mergeCell ref="E119:F119"/>
    <mergeCell ref="E118:F118"/>
    <mergeCell ref="C142:D142"/>
    <mergeCell ref="C136:D136"/>
    <mergeCell ref="C140:D140"/>
    <mergeCell ref="C128:D128"/>
    <mergeCell ref="E128:F128"/>
    <mergeCell ref="C127:D127"/>
    <mergeCell ref="E127:F127"/>
    <mergeCell ref="E144:F144"/>
    <mergeCell ref="E142:F142"/>
    <mergeCell ref="E146:F146"/>
    <mergeCell ref="C149:D149"/>
    <mergeCell ref="E149:F149"/>
    <mergeCell ref="E148:F148"/>
    <mergeCell ref="C143:D143"/>
    <mergeCell ref="E143:F143"/>
    <mergeCell ref="C144:D144"/>
    <mergeCell ref="C146:D146"/>
    <mergeCell ref="C145:D145"/>
    <mergeCell ref="E145:F145"/>
    <mergeCell ref="C147:D147"/>
    <mergeCell ref="Q84:R84"/>
    <mergeCell ref="M85:N85"/>
    <mergeCell ref="Q85:R85"/>
    <mergeCell ref="O84:P84"/>
    <mergeCell ref="M84:N84"/>
    <mergeCell ref="O85:P85"/>
    <mergeCell ref="E140:F140"/>
    <mergeCell ref="Q83:R83"/>
    <mergeCell ref="O83:P83"/>
    <mergeCell ref="M83:N83"/>
    <mergeCell ref="Q81:R81"/>
    <mergeCell ref="O82:P82"/>
    <mergeCell ref="Q82:R82"/>
    <mergeCell ref="Q72:R72"/>
    <mergeCell ref="O81:P81"/>
    <mergeCell ref="M80:N80"/>
    <mergeCell ref="O80:P80"/>
    <mergeCell ref="Q80:R80"/>
    <mergeCell ref="Q78:R78"/>
    <mergeCell ref="Q79:R79"/>
    <mergeCell ref="O77:P77"/>
    <mergeCell ref="Q77:R77"/>
    <mergeCell ref="M75:N75"/>
    <mergeCell ref="Q69:R69"/>
    <mergeCell ref="Q71:R71"/>
    <mergeCell ref="O69:P69"/>
    <mergeCell ref="O71:P71"/>
    <mergeCell ref="Q70:R70"/>
    <mergeCell ref="O70:P70"/>
    <mergeCell ref="Q68:R68"/>
    <mergeCell ref="K68:L68"/>
    <mergeCell ref="M68:N68"/>
    <mergeCell ref="O68:P68"/>
    <mergeCell ref="C129:D129"/>
    <mergeCell ref="E129:F129"/>
    <mergeCell ref="Q65:R65"/>
    <mergeCell ref="C67:D67"/>
    <mergeCell ref="K67:L67"/>
    <mergeCell ref="I66:J66"/>
    <mergeCell ref="G67:H67"/>
    <mergeCell ref="I67:J67"/>
    <mergeCell ref="G66:H66"/>
    <mergeCell ref="Q67:R67"/>
    <mergeCell ref="C135:D135"/>
    <mergeCell ref="E135:F135"/>
    <mergeCell ref="C131:D131"/>
    <mergeCell ref="C130:D130"/>
    <mergeCell ref="E131:F131"/>
    <mergeCell ref="O62:P62"/>
    <mergeCell ref="M63:N63"/>
    <mergeCell ref="K64:L64"/>
    <mergeCell ref="C68:D68"/>
    <mergeCell ref="C65:D65"/>
    <mergeCell ref="C66:D66"/>
    <mergeCell ref="E65:F65"/>
    <mergeCell ref="M66:N66"/>
    <mergeCell ref="Q63:R63"/>
    <mergeCell ref="C63:D63"/>
    <mergeCell ref="E63:F63"/>
    <mergeCell ref="G63:H63"/>
    <mergeCell ref="O61:P61"/>
    <mergeCell ref="O60:P60"/>
    <mergeCell ref="Q60:R60"/>
    <mergeCell ref="K60:L60"/>
    <mergeCell ref="Q58:R58"/>
    <mergeCell ref="K58:L58"/>
    <mergeCell ref="M58:N58"/>
    <mergeCell ref="K87:L87"/>
    <mergeCell ref="K85:L85"/>
    <mergeCell ref="K79:L79"/>
    <mergeCell ref="Q59:R59"/>
    <mergeCell ref="Q61:R61"/>
    <mergeCell ref="K61:L61"/>
    <mergeCell ref="O59:P59"/>
    <mergeCell ref="Q54:R54"/>
    <mergeCell ref="G54:H54"/>
    <mergeCell ref="I54:J54"/>
    <mergeCell ref="K54:L54"/>
    <mergeCell ref="M54:N54"/>
    <mergeCell ref="O54:P54"/>
    <mergeCell ref="O56:P56"/>
    <mergeCell ref="I57:J57"/>
    <mergeCell ref="I58:J58"/>
    <mergeCell ref="K57:L57"/>
    <mergeCell ref="M57:N57"/>
    <mergeCell ref="O58:P58"/>
    <mergeCell ref="O57:P57"/>
    <mergeCell ref="Q55:R55"/>
    <mergeCell ref="G55:H55"/>
    <mergeCell ref="I55:J55"/>
    <mergeCell ref="O55:P55"/>
    <mergeCell ref="K55:L55"/>
    <mergeCell ref="M55:N55"/>
    <mergeCell ref="Q57:R57"/>
    <mergeCell ref="C133:D133"/>
    <mergeCell ref="E133:F133"/>
    <mergeCell ref="C132:D132"/>
    <mergeCell ref="E132:F132"/>
    <mergeCell ref="C61:D61"/>
    <mergeCell ref="I65:J65"/>
    <mergeCell ref="K65:L65"/>
    <mergeCell ref="G62:H62"/>
    <mergeCell ref="I62:J62"/>
    <mergeCell ref="Q56:R56"/>
    <mergeCell ref="K56:L56"/>
    <mergeCell ref="M56:N56"/>
    <mergeCell ref="C57:D57"/>
    <mergeCell ref="E57:F57"/>
    <mergeCell ref="G57:H57"/>
    <mergeCell ref="C56:D56"/>
    <mergeCell ref="E56:F56"/>
    <mergeCell ref="G56:H56"/>
    <mergeCell ref="I56:J56"/>
    <mergeCell ref="O52:P52"/>
    <mergeCell ref="Q52:R52"/>
    <mergeCell ref="G52:H52"/>
    <mergeCell ref="I52:J52"/>
    <mergeCell ref="K52:L52"/>
    <mergeCell ref="M52:N52"/>
    <mergeCell ref="A334:A336"/>
    <mergeCell ref="L335:S335"/>
    <mergeCell ref="B335:J335"/>
    <mergeCell ref="K51:L51"/>
    <mergeCell ref="M51:N51"/>
    <mergeCell ref="O51:P51"/>
    <mergeCell ref="Q51:R51"/>
    <mergeCell ref="C51:D51"/>
    <mergeCell ref="E51:F51"/>
    <mergeCell ref="G51:H51"/>
    <mergeCell ref="O50:P50"/>
    <mergeCell ref="Q50:R50"/>
    <mergeCell ref="C50:D50"/>
    <mergeCell ref="E50:F50"/>
    <mergeCell ref="G50:H50"/>
    <mergeCell ref="I50:J50"/>
    <mergeCell ref="K50:L50"/>
    <mergeCell ref="M50:N50"/>
    <mergeCell ref="O49:P49"/>
    <mergeCell ref="Q49:R49"/>
    <mergeCell ref="C49:D49"/>
    <mergeCell ref="E49:F49"/>
    <mergeCell ref="G49:H49"/>
    <mergeCell ref="I49:J49"/>
    <mergeCell ref="K49:L49"/>
    <mergeCell ref="M49:N49"/>
    <mergeCell ref="O48:P48"/>
    <mergeCell ref="Q48:R48"/>
    <mergeCell ref="C48:D48"/>
    <mergeCell ref="E48:F48"/>
    <mergeCell ref="G48:H48"/>
    <mergeCell ref="I48:J48"/>
    <mergeCell ref="K48:L48"/>
    <mergeCell ref="M48:N48"/>
    <mergeCell ref="O47:P47"/>
    <mergeCell ref="Q47:R47"/>
    <mergeCell ref="K47:L47"/>
    <mergeCell ref="M47:N47"/>
    <mergeCell ref="O46:P46"/>
    <mergeCell ref="Q46:R46"/>
    <mergeCell ref="C46:D46"/>
    <mergeCell ref="E46:F46"/>
    <mergeCell ref="G46:H46"/>
    <mergeCell ref="I46:J46"/>
    <mergeCell ref="K46:L46"/>
    <mergeCell ref="M46:N46"/>
    <mergeCell ref="O45:P45"/>
    <mergeCell ref="Q45:R45"/>
    <mergeCell ref="C45:D45"/>
    <mergeCell ref="E45:F45"/>
    <mergeCell ref="G45:H45"/>
    <mergeCell ref="I45:J45"/>
    <mergeCell ref="C126:D126"/>
    <mergeCell ref="E126:F126"/>
    <mergeCell ref="K45:L45"/>
    <mergeCell ref="M45:N45"/>
    <mergeCell ref="I51:J51"/>
    <mergeCell ref="E52:F52"/>
    <mergeCell ref="E68:F68"/>
    <mergeCell ref="E61:F61"/>
    <mergeCell ref="E55:F55"/>
    <mergeCell ref="K66:L66"/>
    <mergeCell ref="O44:P44"/>
    <mergeCell ref="Q44:R44"/>
    <mergeCell ref="C44:D44"/>
    <mergeCell ref="E44:F44"/>
    <mergeCell ref="G44:H44"/>
    <mergeCell ref="I44:J44"/>
    <mergeCell ref="C125:D125"/>
    <mergeCell ref="E125:F125"/>
    <mergeCell ref="K44:L44"/>
    <mergeCell ref="M44:N44"/>
    <mergeCell ref="G68:H68"/>
    <mergeCell ref="I68:J68"/>
    <mergeCell ref="E62:F62"/>
    <mergeCell ref="E58:F58"/>
    <mergeCell ref="E59:F59"/>
    <mergeCell ref="G58:H58"/>
    <mergeCell ref="O43:P43"/>
    <mergeCell ref="Q43:R43"/>
    <mergeCell ref="C43:D43"/>
    <mergeCell ref="E43:F43"/>
    <mergeCell ref="G43:H43"/>
    <mergeCell ref="I43:J43"/>
    <mergeCell ref="C124:D124"/>
    <mergeCell ref="E124:F124"/>
    <mergeCell ref="K43:L43"/>
    <mergeCell ref="M43:N43"/>
    <mergeCell ref="E86:F86"/>
    <mergeCell ref="G59:H59"/>
    <mergeCell ref="G60:H60"/>
    <mergeCell ref="C58:D58"/>
    <mergeCell ref="C60:D60"/>
    <mergeCell ref="G47:H47"/>
    <mergeCell ref="O42:P42"/>
    <mergeCell ref="Q42:R42"/>
    <mergeCell ref="C42:D42"/>
    <mergeCell ref="E42:F42"/>
    <mergeCell ref="G42:H42"/>
    <mergeCell ref="I42:J42"/>
    <mergeCell ref="C123:D123"/>
    <mergeCell ref="E123:F123"/>
    <mergeCell ref="K42:L42"/>
    <mergeCell ref="M42:N42"/>
    <mergeCell ref="I63:J63"/>
    <mergeCell ref="K70:L70"/>
    <mergeCell ref="I47:J47"/>
    <mergeCell ref="E54:F54"/>
    <mergeCell ref="I53:J53"/>
    <mergeCell ref="K59:L59"/>
    <mergeCell ref="O41:P41"/>
    <mergeCell ref="Q41:R41"/>
    <mergeCell ref="C41:D41"/>
    <mergeCell ref="E41:F41"/>
    <mergeCell ref="G41:H41"/>
    <mergeCell ref="I41:J41"/>
    <mergeCell ref="C122:D122"/>
    <mergeCell ref="E122:F122"/>
    <mergeCell ref="K41:L41"/>
    <mergeCell ref="M41:N41"/>
    <mergeCell ref="I64:J64"/>
    <mergeCell ref="C64:D64"/>
    <mergeCell ref="I70:J70"/>
    <mergeCell ref="K77:L77"/>
    <mergeCell ref="M59:N59"/>
    <mergeCell ref="K82:L82"/>
    <mergeCell ref="O31:P31"/>
    <mergeCell ref="Q31:R31"/>
    <mergeCell ref="C31:D31"/>
    <mergeCell ref="E31:F31"/>
    <mergeCell ref="G31:H31"/>
    <mergeCell ref="I31:J31"/>
    <mergeCell ref="C112:D112"/>
    <mergeCell ref="E112:F112"/>
    <mergeCell ref="K31:L31"/>
    <mergeCell ref="M31:N31"/>
    <mergeCell ref="M67:N67"/>
    <mergeCell ref="K63:L63"/>
    <mergeCell ref="K83:L83"/>
    <mergeCell ref="E64:F64"/>
    <mergeCell ref="G64:H64"/>
    <mergeCell ref="C70:D70"/>
    <mergeCell ref="O30:P30"/>
    <mergeCell ref="Q30:R30"/>
    <mergeCell ref="C30:D30"/>
    <mergeCell ref="E30:F30"/>
    <mergeCell ref="G30:H30"/>
    <mergeCell ref="I30:J30"/>
    <mergeCell ref="C111:D111"/>
    <mergeCell ref="E111:F111"/>
    <mergeCell ref="K30:L30"/>
    <mergeCell ref="M30:N30"/>
    <mergeCell ref="E66:F66"/>
    <mergeCell ref="G65:H65"/>
    <mergeCell ref="E70:F70"/>
    <mergeCell ref="G70:H70"/>
    <mergeCell ref="E67:F67"/>
    <mergeCell ref="K80:L80"/>
    <mergeCell ref="O29:P29"/>
    <mergeCell ref="Q29:R29"/>
    <mergeCell ref="C29:D29"/>
    <mergeCell ref="E29:F29"/>
    <mergeCell ref="G29:H29"/>
    <mergeCell ref="I29:J29"/>
    <mergeCell ref="C110:D110"/>
    <mergeCell ref="E110:F110"/>
    <mergeCell ref="K29:L29"/>
    <mergeCell ref="M29:N29"/>
    <mergeCell ref="K84:L84"/>
    <mergeCell ref="I88:J88"/>
    <mergeCell ref="I86:J86"/>
    <mergeCell ref="G89:H89"/>
    <mergeCell ref="I89:J89"/>
    <mergeCell ref="G86:H86"/>
    <mergeCell ref="O28:P28"/>
    <mergeCell ref="Q28:R28"/>
    <mergeCell ref="C28:D28"/>
    <mergeCell ref="E28:F28"/>
    <mergeCell ref="G28:H28"/>
    <mergeCell ref="I28:J28"/>
    <mergeCell ref="C109:D109"/>
    <mergeCell ref="E109:F109"/>
    <mergeCell ref="K28:L28"/>
    <mergeCell ref="M28:N28"/>
    <mergeCell ref="K62:L62"/>
    <mergeCell ref="M62:N62"/>
    <mergeCell ref="M65:N65"/>
    <mergeCell ref="M69:N69"/>
    <mergeCell ref="C73:D73"/>
    <mergeCell ref="E73:F73"/>
    <mergeCell ref="O27:P27"/>
    <mergeCell ref="Q27:R27"/>
    <mergeCell ref="C27:D27"/>
    <mergeCell ref="E27:F27"/>
    <mergeCell ref="G27:H27"/>
    <mergeCell ref="I27:J27"/>
    <mergeCell ref="C108:D108"/>
    <mergeCell ref="E108:F108"/>
    <mergeCell ref="K27:L27"/>
    <mergeCell ref="M27:N27"/>
    <mergeCell ref="C69:D69"/>
    <mergeCell ref="E69:F69"/>
    <mergeCell ref="G69:H69"/>
    <mergeCell ref="I69:J69"/>
    <mergeCell ref="M77:N77"/>
    <mergeCell ref="M81:N81"/>
    <mergeCell ref="O26:P26"/>
    <mergeCell ref="Q26:R26"/>
    <mergeCell ref="C26:D26"/>
    <mergeCell ref="E26:F26"/>
    <mergeCell ref="G26:H26"/>
    <mergeCell ref="I26:J26"/>
    <mergeCell ref="C107:D107"/>
    <mergeCell ref="E107:F107"/>
    <mergeCell ref="K26:L26"/>
    <mergeCell ref="M26:N26"/>
    <mergeCell ref="M82:N82"/>
    <mergeCell ref="E93:F93"/>
    <mergeCell ref="G73:H73"/>
    <mergeCell ref="C75:D75"/>
    <mergeCell ref="C74:D74"/>
    <mergeCell ref="E74:F74"/>
    <mergeCell ref="O25:P25"/>
    <mergeCell ref="Q25:R25"/>
    <mergeCell ref="C25:D25"/>
    <mergeCell ref="E25:F25"/>
    <mergeCell ref="G25:H25"/>
    <mergeCell ref="I25:J25"/>
    <mergeCell ref="C106:D106"/>
    <mergeCell ref="E106:F106"/>
    <mergeCell ref="K25:L25"/>
    <mergeCell ref="M25:N25"/>
    <mergeCell ref="G74:H74"/>
    <mergeCell ref="G75:H75"/>
    <mergeCell ref="E80:F80"/>
    <mergeCell ref="G80:H80"/>
    <mergeCell ref="G77:H77"/>
    <mergeCell ref="I74:J74"/>
    <mergeCell ref="C105:D105"/>
    <mergeCell ref="E105:F105"/>
    <mergeCell ref="K24:L24"/>
    <mergeCell ref="M24:N24"/>
    <mergeCell ref="E75:F75"/>
    <mergeCell ref="E76:F76"/>
    <mergeCell ref="E77:F77"/>
    <mergeCell ref="I76:J76"/>
    <mergeCell ref="I77:J77"/>
    <mergeCell ref="E78:F78"/>
    <mergeCell ref="O23:P23"/>
    <mergeCell ref="Q23:R23"/>
    <mergeCell ref="C104:D104"/>
    <mergeCell ref="E104:F104"/>
    <mergeCell ref="E23:F23"/>
    <mergeCell ref="G23:H23"/>
    <mergeCell ref="I23:J23"/>
    <mergeCell ref="K23:L23"/>
    <mergeCell ref="O24:P24"/>
    <mergeCell ref="Q24:R24"/>
    <mergeCell ref="O22:P22"/>
    <mergeCell ref="Q22:R22"/>
    <mergeCell ref="C22:D22"/>
    <mergeCell ref="E22:F22"/>
    <mergeCell ref="G22:H22"/>
    <mergeCell ref="I22:J22"/>
    <mergeCell ref="C103:D103"/>
    <mergeCell ref="E103:F103"/>
    <mergeCell ref="K22:L22"/>
    <mergeCell ref="M22:N22"/>
    <mergeCell ref="M23:N23"/>
    <mergeCell ref="C24:D24"/>
    <mergeCell ref="E24:F24"/>
    <mergeCell ref="G24:H24"/>
    <mergeCell ref="I24:J24"/>
    <mergeCell ref="C23:D23"/>
    <mergeCell ref="O21:P21"/>
    <mergeCell ref="Q21:R21"/>
    <mergeCell ref="C21:D21"/>
    <mergeCell ref="E21:F21"/>
    <mergeCell ref="G21:H21"/>
    <mergeCell ref="I21:J21"/>
    <mergeCell ref="C102:D102"/>
    <mergeCell ref="E102:F102"/>
    <mergeCell ref="K21:L21"/>
    <mergeCell ref="M21:N21"/>
    <mergeCell ref="G61:H61"/>
    <mergeCell ref="I61:J61"/>
    <mergeCell ref="E60:F60"/>
    <mergeCell ref="M61:N61"/>
    <mergeCell ref="C47:D47"/>
    <mergeCell ref="E47:F47"/>
  </mergeCells>
  <conditionalFormatting sqref="C329:T329">
    <cfRule type="cellIs" priority="4" dxfId="2" operator="greaterThan" stopIfTrue="1">
      <formula>2.23</formula>
    </cfRule>
    <cfRule type="cellIs" priority="5" dxfId="2" operator="between" stopIfTrue="1">
      <formula>0.01</formula>
      <formula>2.129</formula>
    </cfRule>
  </conditionalFormatting>
  <conditionalFormatting sqref="C331:N331">
    <cfRule type="cellIs" priority="6" dxfId="2" operator="between" stopIfTrue="1">
      <formula>1.25</formula>
      <formula>2000</formula>
    </cfRule>
    <cfRule type="cellIs" priority="7" dxfId="2" operator="between" stopIfTrue="1">
      <formula>0.1</formula>
      <formula>1.229</formula>
    </cfRule>
  </conditionalFormatting>
  <conditionalFormatting sqref="K334:K336 T334:T336">
    <cfRule type="cellIs" priority="5" dxfId="14" operator="equal" stopIfTrue="1">
      <formula>"有"</formula>
    </cfRule>
  </conditionalFormatting>
  <conditionalFormatting sqref="K323:K327">
    <cfRule type="cellIs" priority="6" dxfId="15" operator="equal" stopIfTrue="1">
      <formula>"×"</formula>
    </cfRule>
  </conditionalFormatting>
  <conditionalFormatting sqref="E95:F168">
    <cfRule type="cellIs" priority="3" dxfId="0" operator="equal" stopIfTrue="1">
      <formula>$C$6</formula>
    </cfRule>
  </conditionalFormatting>
  <dataValidations count="2">
    <dataValidation allowBlank="1" showInputMessage="1" showErrorMessage="1" imeMode="off" sqref="C328:T332 A249:T320 A95:T168 J92:J93 A14:C89 N2 R2:R3 T2 Y14:Y89 D14:D86 L89 G14:I89 D89 J89 L14:L86 E14:E89 F89 J14:J86 M14:W89 F14:F86 K14:K89 A173:T244"/>
    <dataValidation allowBlank="1" showInputMessage="1" showErrorMessage="1" imeMode="hiragana" sqref="C170 D4:P4 H6 N3:P3 C5:D5 G9:I9 G5:H5 E5:F6 D2 X14:X89"/>
  </dataValidations>
  <printOptions/>
  <pageMargins left="0.7480314960629921" right="0.1968503937007874" top="0.5118110236220472" bottom="0.49" header="0.3937007874015748" footer="0.31496062992125984"/>
  <pageSetup orientation="portrait" paperSize="9" scale="97" r:id="rId2"/>
  <headerFooter alignWithMargins="0">
    <oddHeader>&amp;L&amp;"ＭＳ 明朝,標準"&amp;9（３年保存）&amp;C&amp;"ＭＳ 明朝,標準"&amp;16電気工作物通常（月次）点検実施表</oddHeader>
    <oddFooter>&amp;C&amp;"ＭＳ 明朝,標準"&amp;10&amp;P／&amp;N&amp;R&amp;"ＭＳ 明朝,標準"&amp;9一般社団法人北陸電気管理技術者協会</oddFooter>
  </headerFooter>
  <rowBreaks count="1" manualBreakCount="1">
    <brk id="2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0">
      <selection activeCell="C23" sqref="C23"/>
    </sheetView>
  </sheetViews>
  <sheetFormatPr defaultColWidth="9.00390625" defaultRowHeight="13.5"/>
  <cols>
    <col min="1" max="2" width="4.75390625" style="27" customWidth="1"/>
    <col min="3" max="18" width="4.75390625" style="1" customWidth="1"/>
    <col min="19" max="19" width="2.50390625" style="1" customWidth="1"/>
    <col min="20" max="20" width="12.50390625" style="1" customWidth="1"/>
    <col min="21" max="16384" width="9.00390625" style="1" customWidth="1"/>
  </cols>
  <sheetData>
    <row r="1" ht="13.5" customHeight="1">
      <c r="A1" s="564" t="s">
        <v>312</v>
      </c>
    </row>
    <row r="2" spans="1:20" ht="18" customHeight="1">
      <c r="A2" s="652" t="s">
        <v>12</v>
      </c>
      <c r="B2" s="653"/>
      <c r="C2" s="646" t="str">
        <f>'0710'!D2</f>
        <v>株式会社○○ 富山店</v>
      </c>
      <c r="D2" s="647"/>
      <c r="E2" s="647"/>
      <c r="F2" s="647"/>
      <c r="G2" s="648"/>
      <c r="H2" s="163" t="s">
        <v>126</v>
      </c>
      <c r="I2" s="164"/>
      <c r="J2" s="143" t="s">
        <v>115</v>
      </c>
      <c r="K2" s="144"/>
      <c r="L2" s="100" t="s">
        <v>15</v>
      </c>
      <c r="M2" s="92"/>
      <c r="N2" s="93"/>
      <c r="O2" s="60" t="str">
        <f>IF($M$2="","(　）",WEEKDAY(($M$2),1))</f>
        <v>(　）</v>
      </c>
      <c r="P2" s="44" t="s">
        <v>19</v>
      </c>
      <c r="Q2" s="56"/>
      <c r="R2" s="57"/>
      <c r="T2" s="251" t="s">
        <v>141</v>
      </c>
    </row>
    <row r="3" spans="1:20" ht="18" customHeight="1">
      <c r="A3" s="654"/>
      <c r="B3" s="655"/>
      <c r="C3" s="649"/>
      <c r="D3" s="650"/>
      <c r="E3" s="650"/>
      <c r="F3" s="650"/>
      <c r="G3" s="651"/>
      <c r="H3" s="668">
        <f ca="1">INDIRECT($T$3&amp;"!c6")</f>
        <v>219.6</v>
      </c>
      <c r="I3" s="669"/>
      <c r="J3" s="662">
        <f ca="1">IF(INDIRECT($T$3&amp;"!u15")="","",INDIRECT($T$3&amp;"!u15"))</f>
        <v>41401</v>
      </c>
      <c r="K3" s="663"/>
      <c r="L3" s="58" t="s">
        <v>2</v>
      </c>
      <c r="M3" s="59"/>
      <c r="N3" s="55" t="s">
        <v>18</v>
      </c>
      <c r="O3" s="46"/>
      <c r="P3" s="44" t="s">
        <v>20</v>
      </c>
      <c r="Q3" s="580"/>
      <c r="R3" s="23" t="s">
        <v>21</v>
      </c>
      <c r="T3" s="252" t="s">
        <v>216</v>
      </c>
    </row>
    <row r="4" spans="1:21" s="27" customFormat="1" ht="12" customHeight="1">
      <c r="A4" s="35"/>
      <c r="B4" s="35"/>
      <c r="C4" s="35"/>
      <c r="D4" s="35"/>
      <c r="E4" s="35"/>
      <c r="F4" s="35"/>
      <c r="G4" s="35"/>
      <c r="H4" s="35"/>
      <c r="I4" s="523" t="s">
        <v>308</v>
      </c>
      <c r="J4" s="35"/>
      <c r="K4" s="35"/>
      <c r="L4" s="35"/>
      <c r="M4" s="35"/>
      <c r="N4" s="35"/>
      <c r="O4" s="35"/>
      <c r="P4" s="35"/>
      <c r="U4" s="1"/>
    </row>
    <row r="5" spans="1:18" ht="12">
      <c r="A5" s="2" t="str">
        <f>'0710'!C11</f>
        <v>時間帯別（平日）×600〔kWh〕</v>
      </c>
      <c r="B5" s="3"/>
      <c r="C5" s="3"/>
      <c r="D5" s="3"/>
      <c r="E5" s="3"/>
      <c r="F5" s="4"/>
      <c r="G5" s="2" t="str">
        <f>'0710'!I11</f>
        <v>時間帯別（休日）×600〔kWh〕</v>
      </c>
      <c r="H5" s="3"/>
      <c r="I5" s="3"/>
      <c r="J5" s="3"/>
      <c r="K5" s="3"/>
      <c r="L5" s="4"/>
      <c r="M5" s="2" t="str">
        <f>'0710'!O11</f>
        <v>使用量　合計</v>
      </c>
      <c r="N5" s="3"/>
      <c r="O5" s="3"/>
      <c r="P5" s="4"/>
      <c r="Q5" s="61" t="s">
        <v>139</v>
      </c>
      <c r="R5" s="187" t="s">
        <v>135</v>
      </c>
    </row>
    <row r="6" spans="1:18" ht="12">
      <c r="A6" s="14" t="str">
        <f>'0710'!C12</f>
        <v>累積指数</v>
      </c>
      <c r="B6" s="20"/>
      <c r="C6" s="6" t="str">
        <f>'0710'!E12</f>
        <v>①　使用電力量</v>
      </c>
      <c r="D6" s="11"/>
      <c r="E6" s="7"/>
      <c r="F6" s="72"/>
      <c r="G6" s="14" t="str">
        <f>'0710'!I12</f>
        <v>累積指数</v>
      </c>
      <c r="H6" s="20"/>
      <c r="I6" s="6" t="str">
        <f>'0710'!K12</f>
        <v>②　使用電力量</v>
      </c>
      <c r="J6" s="11"/>
      <c r="K6" s="7"/>
      <c r="L6" s="72"/>
      <c r="M6" s="14" t="str">
        <f>'0710'!O12</f>
        <v>③＝①+②</v>
      </c>
      <c r="N6" s="15"/>
      <c r="O6" s="12" t="str">
        <f>'0710'!Q12</f>
        <v>１日平均</v>
      </c>
      <c r="P6" s="16"/>
      <c r="Q6" s="22" t="s">
        <v>138</v>
      </c>
      <c r="R6" s="188" t="s">
        <v>136</v>
      </c>
    </row>
    <row r="7" spans="1:18" s="10" customFormat="1" ht="12">
      <c r="A7" s="146" t="str">
        <f>'0710'!C13</f>
        <v>[1]</v>
      </c>
      <c r="B7" s="147"/>
      <c r="C7" s="17" t="str">
        <f>'0710'!E13</f>
        <v>〔kWh／月〕</v>
      </c>
      <c r="D7" s="17"/>
      <c r="E7" s="17" t="str">
        <f>'0710'!G13</f>
        <v>〔kWh／日〕</v>
      </c>
      <c r="F7" s="73"/>
      <c r="G7" s="146" t="str">
        <f>'0710'!I13</f>
        <v>[3]</v>
      </c>
      <c r="H7" s="147"/>
      <c r="I7" s="17" t="str">
        <f>'0710'!K13</f>
        <v>〔kWh／月〕</v>
      </c>
      <c r="J7" s="17"/>
      <c r="K7" s="17" t="str">
        <f>'0710'!M13</f>
        <v>〔kWh／日〕</v>
      </c>
      <c r="L7" s="73"/>
      <c r="M7" s="75" t="str">
        <f>'0710'!O13</f>
        <v>〔kWh／月〕</v>
      </c>
      <c r="N7" s="18"/>
      <c r="O7" s="18" t="str">
        <f>'0710'!Q13</f>
        <v>〔kWh／日〕</v>
      </c>
      <c r="P7" s="19"/>
      <c r="Q7" s="191" t="s">
        <v>33</v>
      </c>
      <c r="R7" s="189" t="s">
        <v>137</v>
      </c>
    </row>
    <row r="8" spans="1:20" ht="15.75" customHeight="1">
      <c r="A8" s="656"/>
      <c r="B8" s="657"/>
      <c r="C8" s="658" t="s">
        <v>129</v>
      </c>
      <c r="D8" s="659"/>
      <c r="E8" s="660"/>
      <c r="F8" s="661"/>
      <c r="G8" s="656"/>
      <c r="H8" s="657"/>
      <c r="I8" s="664"/>
      <c r="J8" s="665"/>
      <c r="K8" s="660"/>
      <c r="L8" s="661"/>
      <c r="M8" s="676"/>
      <c r="N8" s="677"/>
      <c r="O8" s="664"/>
      <c r="P8" s="672"/>
      <c r="Q8" s="270"/>
      <c r="R8" s="271"/>
      <c r="T8" s="206" t="s">
        <v>140</v>
      </c>
    </row>
    <row r="9" spans="1:20" s="167" customFormat="1" ht="15.75" customHeight="1">
      <c r="A9" s="642">
        <f ca="1">INDIRECT($T$3&amp;"!"&amp;ADDRESS($T9,COLUMN('0710'!C$4)))</f>
        <v>4733.46</v>
      </c>
      <c r="B9" s="643" t="e">
        <f ca="1">INDIRECT($T$3&amp;"!"&amp;ADDRESS($T9,COLUMN('0710'!#REF!)))</f>
        <v>#REF!</v>
      </c>
      <c r="C9" s="644">
        <f ca="1">INDIRECT($T$3&amp;"!"&amp;ADDRESS($T9,COLUMN('0710'!E$4)))</f>
        <v>27413.99999999976</v>
      </c>
      <c r="D9" s="645" t="e">
        <f ca="1">INDIRECT($T$3&amp;"!"&amp;ADDRESS($T9,COLUMN('0710'!#REF!)))</f>
        <v>#REF!</v>
      </c>
      <c r="E9" s="666">
        <f ca="1">INDIRECT($T$3&amp;"!"&amp;ADDRESS($T9,COLUMN('0710'!G$4)))</f>
        <v>913.799999999992</v>
      </c>
      <c r="F9" s="667" t="e">
        <f ca="1">INDIRECT($T$3&amp;"!"&amp;ADDRESS($T9,COLUMN('0710'!#REF!)))</f>
        <v>#REF!</v>
      </c>
      <c r="G9" s="678">
        <f ca="1">INDIRECT($T$3&amp;"!"&amp;ADDRESS($T9,COLUMN('0710'!I$4)))</f>
        <v>2442</v>
      </c>
      <c r="H9" s="679" t="e">
        <f ca="1">INDIRECT($T$3&amp;"!"&amp;ADDRESS($T9,COLUMN('0710'!#REF!)))</f>
        <v>#REF!</v>
      </c>
      <c r="I9" s="644">
        <f ca="1">INDIRECT($T$3&amp;"!"&amp;ADDRESS($T9,COLUMN('0710'!K$4)))</f>
        <v>11706.000000000131</v>
      </c>
      <c r="J9" s="645" t="e">
        <f ca="1">INDIRECT($T$3&amp;"!"&amp;ADDRESS($T9,COLUMN('0710'!#REF!)))</f>
        <v>#REF!</v>
      </c>
      <c r="K9" s="666">
        <f ca="1">INDIRECT($T$3&amp;"!"&amp;ADDRESS($T9,COLUMN('0710'!M$4)))</f>
        <v>390.20000000000437</v>
      </c>
      <c r="L9" s="667" t="e">
        <f ca="1">INDIRECT($T$3&amp;"!"&amp;ADDRESS($T9,COLUMN('0710'!#REF!)))</f>
        <v>#REF!</v>
      </c>
      <c r="M9" s="681">
        <f ca="1">INDIRECT($T$3&amp;"!"&amp;ADDRESS($T9,COLUMN('0710'!O$4)))</f>
        <v>39119.99999999989</v>
      </c>
      <c r="N9" s="682" t="e">
        <f ca="1">INDIRECT($T$3&amp;"!"&amp;ADDRESS($T9,COLUMN('0710'!#REF!)))</f>
        <v>#REF!</v>
      </c>
      <c r="O9" s="644">
        <f ca="1">INDIRECT($T$3&amp;"!"&amp;ADDRESS($T9,COLUMN('0710'!Q$4)))</f>
        <v>1303.9999999999964</v>
      </c>
      <c r="P9" s="680" t="e">
        <f ca="1">INDIRECT($T$3&amp;"!"&amp;ADDRESS($T9,COLUMN('0710'!#REF!)))</f>
        <v>#REF!</v>
      </c>
      <c r="Q9" s="216">
        <f ca="1">INDIRECT($T$3&amp;"!"&amp;ADDRESS($T9,COLUMN('0710'!S$4)))</f>
        <v>0.29923312883436</v>
      </c>
      <c r="R9" s="216">
        <f ca="1">INDIRECT($T$3&amp;"!"&amp;ADDRESS($T9,COLUMN('0710'!T$4)))</f>
        <v>0.43121693121693</v>
      </c>
      <c r="S9" s="10"/>
      <c r="T9" s="207">
        <v>15</v>
      </c>
    </row>
    <row r="10" s="167" customFormat="1" ht="12" customHeight="1">
      <c r="T10" s="207"/>
    </row>
    <row r="11" spans="1:20" ht="14.25" customHeight="1">
      <c r="A11" s="424" t="str">
        <f>'0710'!C5</f>
        <v>業務用季節別曜日別WE</v>
      </c>
      <c r="B11" s="425"/>
      <c r="C11" s="425"/>
      <c r="D11" s="425"/>
      <c r="E11" s="426"/>
      <c r="J11" s="2" t="s">
        <v>191</v>
      </c>
      <c r="K11" s="3"/>
      <c r="L11" s="3"/>
      <c r="M11" s="3"/>
      <c r="N11" s="3"/>
      <c r="O11" s="3"/>
      <c r="P11" s="3"/>
      <c r="Q11" s="3"/>
      <c r="R11" s="4"/>
      <c r="T11" s="207"/>
    </row>
    <row r="12" spans="1:20" ht="12">
      <c r="A12" s="2" t="str">
        <f>'0710'!C92</f>
        <v>最大需要電力</v>
      </c>
      <c r="B12" s="3"/>
      <c r="C12" s="186"/>
      <c r="D12" s="4"/>
      <c r="E12" s="89" t="s">
        <v>23</v>
      </c>
      <c r="G12" s="71" t="s">
        <v>146</v>
      </c>
      <c r="H12" s="212"/>
      <c r="J12" s="153" t="s">
        <v>47</v>
      </c>
      <c r="K12" s="113" t="s">
        <v>47</v>
      </c>
      <c r="L12" s="113" t="s">
        <v>48</v>
      </c>
      <c r="M12" s="63" t="s">
        <v>49</v>
      </c>
      <c r="N12" s="113" t="s">
        <v>50</v>
      </c>
      <c r="O12" s="63" t="s">
        <v>56</v>
      </c>
      <c r="P12" s="63" t="s">
        <v>190</v>
      </c>
      <c r="Q12" s="64" t="s">
        <v>51</v>
      </c>
      <c r="R12" s="67" t="s">
        <v>170</v>
      </c>
      <c r="T12" s="207"/>
    </row>
    <row r="13" spans="1:20" ht="13.5" customHeight="1">
      <c r="A13" s="608" t="s">
        <v>133</v>
      </c>
      <c r="B13" s="609"/>
      <c r="C13" s="596" t="str">
        <f>'0710'!E93</f>
        <v>×600</v>
      </c>
      <c r="D13" s="597">
        <f>'0710'!F93</f>
        <v>0</v>
      </c>
      <c r="E13" s="5" t="s">
        <v>30</v>
      </c>
      <c r="G13" s="173" t="s">
        <v>145</v>
      </c>
      <c r="H13" s="211" t="s">
        <v>274</v>
      </c>
      <c r="J13" s="154" t="s">
        <v>38</v>
      </c>
      <c r="K13" s="62" t="s">
        <v>52</v>
      </c>
      <c r="L13" s="151" t="s">
        <v>53</v>
      </c>
      <c r="M13" s="151" t="s">
        <v>54</v>
      </c>
      <c r="N13" s="62" t="s">
        <v>55</v>
      </c>
      <c r="O13" s="151" t="s">
        <v>119</v>
      </c>
      <c r="P13" s="151" t="s">
        <v>119</v>
      </c>
      <c r="Q13" s="152" t="s">
        <v>120</v>
      </c>
      <c r="R13" s="150" t="s">
        <v>125</v>
      </c>
      <c r="T13" s="207"/>
    </row>
    <row r="14" spans="1:20" s="10" customFormat="1" ht="12">
      <c r="A14" s="610"/>
      <c r="B14" s="611"/>
      <c r="C14" s="606" t="str">
        <f>'0710'!E94</f>
        <v>〔kW〕</v>
      </c>
      <c r="D14" s="607">
        <f>'0710'!F94</f>
        <v>0</v>
      </c>
      <c r="E14" s="74" t="s">
        <v>34</v>
      </c>
      <c r="G14" s="171" t="s">
        <v>35</v>
      </c>
      <c r="H14" s="69" t="s">
        <v>35</v>
      </c>
      <c r="J14" s="48" t="s">
        <v>45</v>
      </c>
      <c r="K14" s="65" t="s">
        <v>57</v>
      </c>
      <c r="L14" s="54" t="s">
        <v>45</v>
      </c>
      <c r="M14" s="326" t="s">
        <v>273</v>
      </c>
      <c r="N14" s="70" t="s">
        <v>58</v>
      </c>
      <c r="O14" s="65" t="s">
        <v>46</v>
      </c>
      <c r="P14" s="65" t="s">
        <v>46</v>
      </c>
      <c r="Q14" s="66" t="s">
        <v>59</v>
      </c>
      <c r="R14" s="68" t="s">
        <v>207</v>
      </c>
      <c r="T14" s="207"/>
    </row>
    <row r="15" spans="1:20" ht="15.75" customHeight="1">
      <c r="A15" s="687"/>
      <c r="B15" s="688"/>
      <c r="C15" s="691"/>
      <c r="D15" s="692"/>
      <c r="E15" s="221"/>
      <c r="G15" s="217"/>
      <c r="H15" s="218"/>
      <c r="J15" s="81"/>
      <c r="K15" s="76"/>
      <c r="L15" s="76"/>
      <c r="M15" s="411"/>
      <c r="N15" s="83"/>
      <c r="O15" s="26"/>
      <c r="P15" s="26"/>
      <c r="Q15" s="80"/>
      <c r="R15" s="244"/>
      <c r="T15" s="207"/>
    </row>
    <row r="16" spans="1:20" s="167" customFormat="1" ht="15.75" customHeight="1">
      <c r="A16" s="683">
        <f ca="1">INDIRECT($T$3&amp;"!"&amp;ADDRESS($T16,COLUMN('0710'!C$4)))</f>
        <v>0.21</v>
      </c>
      <c r="B16" s="684" t="e">
        <f ca="1">INDIRECT($T$3&amp;"!"&amp;ADDRESS($T16,COLUMN('0710'!#REF!)))</f>
        <v>#REF!</v>
      </c>
      <c r="C16" s="685">
        <f ca="1">INDIRECT($T$3&amp;"!"&amp;ADDRESS($T16,COLUMN('0710'!E$4)))</f>
        <v>126</v>
      </c>
      <c r="D16" s="686" t="e">
        <f ca="1">INDIRECT($T$3&amp;"!"&amp;ADDRESS($T16,COLUMN('0710'!#REF!)))</f>
        <v>#REF!</v>
      </c>
      <c r="E16" s="222">
        <f ca="1">INDIRECT($T$3&amp;"!"&amp;ADDRESS($T16,COLUMN('0710'!G$4)))</f>
        <v>100</v>
      </c>
      <c r="G16" s="219">
        <f ca="1">INDIRECT($T$3&amp;"!"&amp;ADDRESS($T16,COLUMN('0710'!I$4)))</f>
        <v>18</v>
      </c>
      <c r="H16" s="220">
        <f ca="1">INDIRECT($T$3&amp;"!"&amp;ADDRESS($T16,COLUMN('0710'!J$4)))</f>
        <v>0.02</v>
      </c>
      <c r="J16" s="169">
        <f ca="1">INDIRECT($T$3&amp;"!"&amp;ADDRESS($T16,COLUMN('0710'!L$4)))</f>
        <v>217</v>
      </c>
      <c r="K16" s="200">
        <f ca="1">INDIRECT($T$3&amp;"!"&amp;ADDRESS($T16,COLUMN('0710'!M$4)))</f>
        <v>62.2</v>
      </c>
      <c r="L16" s="200">
        <f ca="1">INDIRECT($T$3&amp;"!"&amp;ADDRESS($T16,COLUMN('0710'!N$4)))</f>
        <v>27.7</v>
      </c>
      <c r="M16" s="410">
        <f ca="1">INDIRECT($T$3&amp;"!"&amp;ADDRESS($T16,COLUMN('0710'!O$4)))</f>
        <v>3</v>
      </c>
      <c r="N16" s="223">
        <f ca="1">INDIRECT($T$3&amp;"!"&amp;ADDRESS($T16,COLUMN('0710'!P$4)))</f>
        <v>2900</v>
      </c>
      <c r="O16" s="336" t="str">
        <f ca="1">INDIRECT($T$3&amp;"!"&amp;ADDRESS($T16,COLUMN('0710'!Q$4)))</f>
        <v>&lt;50</v>
      </c>
      <c r="P16" s="336" t="str">
        <f ca="1">INDIRECT($T$3&amp;"!"&amp;ADDRESS($T16,COLUMN('0710'!R$4)))</f>
        <v>&lt;50</v>
      </c>
      <c r="Q16" s="168">
        <f ca="1">INDIRECT($T$3&amp;"!"&amp;ADDRESS($T16,COLUMN('0710'!S$4)))</f>
        <v>6.3</v>
      </c>
      <c r="R16" s="289">
        <f ca="1">INDIRECT($T$3&amp;"!"&amp;ADDRESS($T16,COLUMN('0710'!T$4)))</f>
        <v>0.48</v>
      </c>
      <c r="T16" s="207">
        <f>ROW('0710'!C94)+2</f>
        <v>96</v>
      </c>
    </row>
    <row r="17" spans="1:20" s="170" customFormat="1" ht="15.75" customHeight="1" thickBot="1">
      <c r="A17" s="27"/>
      <c r="B17" s="27"/>
      <c r="C17" s="27"/>
      <c r="D17" s="27"/>
      <c r="E17" s="27"/>
      <c r="F17" s="27"/>
      <c r="G17" s="27"/>
      <c r="H17" s="412" t="s">
        <v>266</v>
      </c>
      <c r="I17" s="414">
        <v>41219</v>
      </c>
      <c r="J17" s="145" t="s">
        <v>117</v>
      </c>
      <c r="K17" s="101"/>
      <c r="L17" s="34"/>
      <c r="M17" s="34"/>
      <c r="N17" s="34"/>
      <c r="O17" s="101"/>
      <c r="P17" s="101"/>
      <c r="Q17" s="34"/>
      <c r="R17" s="102"/>
      <c r="T17" s="207"/>
    </row>
    <row r="18" spans="1:20" s="170" customFormat="1" ht="15.75" customHeight="1" thickBot="1">
      <c r="A18" s="291" t="s">
        <v>188</v>
      </c>
      <c r="B18" s="292"/>
      <c r="C18" s="334" t="s">
        <v>406</v>
      </c>
      <c r="D18" s="529" t="s">
        <v>310</v>
      </c>
      <c r="E18" s="530"/>
      <c r="F18" s="531"/>
      <c r="G18" s="27"/>
      <c r="H18" s="413" t="s">
        <v>265</v>
      </c>
      <c r="I18" s="414">
        <v>41368</v>
      </c>
      <c r="J18" s="226" t="s">
        <v>128</v>
      </c>
      <c r="K18" s="45"/>
      <c r="L18" s="41"/>
      <c r="M18" s="41"/>
      <c r="N18" s="41"/>
      <c r="O18" s="45"/>
      <c r="P18" s="45"/>
      <c r="Q18" s="41"/>
      <c r="R18" s="42"/>
      <c r="T18" s="207"/>
    </row>
    <row r="19" spans="11:20" s="27" customFormat="1" ht="5.25" customHeight="1" thickBot="1">
      <c r="K19" s="35"/>
      <c r="L19" s="35"/>
      <c r="M19" s="35"/>
      <c r="N19" s="35"/>
      <c r="O19" s="35"/>
      <c r="P19" s="35"/>
      <c r="Q19" s="35"/>
      <c r="T19" s="207"/>
    </row>
    <row r="20" spans="1:20" s="27" customFormat="1" ht="15.75" customHeight="1" thickBot="1">
      <c r="A20" s="291" t="s">
        <v>259</v>
      </c>
      <c r="B20" s="292"/>
      <c r="C20" s="407" t="s">
        <v>407</v>
      </c>
      <c r="D20" s="38"/>
      <c r="E20" s="114"/>
      <c r="F20" s="39"/>
      <c r="H20" s="419" t="str">
        <f>'0710'!V354</f>
        <v>定格消費量</v>
      </c>
      <c r="I20" s="420" t="str">
        <f>'0710'!V355</f>
        <v>34ℓ/ｈ</v>
      </c>
      <c r="J20" s="36" t="s">
        <v>108</v>
      </c>
      <c r="K20" s="37"/>
      <c r="L20" s="53"/>
      <c r="M20" s="276" t="s">
        <v>127</v>
      </c>
      <c r="N20" s="277"/>
      <c r="O20" s="673">
        <f>85*R16</f>
        <v>40.8</v>
      </c>
      <c r="P20" s="674"/>
      <c r="Q20" s="675"/>
      <c r="T20" s="207"/>
    </row>
    <row r="21" spans="1:20" s="170" customFormat="1" ht="12" customHeight="1">
      <c r="A21" s="201"/>
      <c r="B21" s="201"/>
      <c r="C21" s="202"/>
      <c r="D21" s="202"/>
      <c r="E21" s="203"/>
      <c r="F21" s="204"/>
      <c r="G21" s="204"/>
      <c r="H21" s="205"/>
      <c r="I21" s="27"/>
      <c r="J21" s="27"/>
      <c r="K21" s="27"/>
      <c r="L21" s="27"/>
      <c r="M21" s="27"/>
      <c r="N21" s="27"/>
      <c r="O21" s="27"/>
      <c r="P21" s="27"/>
      <c r="Q21" s="27"/>
      <c r="R21" s="35"/>
      <c r="T21" s="207"/>
    </row>
    <row r="22" spans="1:20" ht="12" customHeight="1">
      <c r="A22" s="49" t="str">
        <f>'0710'!C170</f>
        <v>高圧受電盤（常時）【正相】</v>
      </c>
      <c r="B22" s="50"/>
      <c r="C22" s="50"/>
      <c r="D22" s="50"/>
      <c r="E22" s="50"/>
      <c r="F22" s="50"/>
      <c r="G22" s="50"/>
      <c r="H22" s="345" t="s">
        <v>197</v>
      </c>
      <c r="I22" s="346"/>
      <c r="J22" s="347"/>
      <c r="K22" s="2" t="s">
        <v>257</v>
      </c>
      <c r="L22" s="3"/>
      <c r="M22" s="3"/>
      <c r="N22" s="3"/>
      <c r="O22" s="3"/>
      <c r="P22" s="4"/>
      <c r="Q22" s="3"/>
      <c r="R22" s="4"/>
      <c r="T22" s="207"/>
    </row>
    <row r="23" spans="1:20" ht="12" customHeight="1">
      <c r="A23" s="14" t="s">
        <v>36</v>
      </c>
      <c r="B23" s="15"/>
      <c r="C23" s="20"/>
      <c r="D23" s="12" t="s">
        <v>37</v>
      </c>
      <c r="E23" s="15"/>
      <c r="F23" s="20"/>
      <c r="G23" s="25"/>
      <c r="H23" s="348" t="s">
        <v>209</v>
      </c>
      <c r="I23" s="349"/>
      <c r="J23" s="350"/>
      <c r="K23" s="159" t="s">
        <v>123</v>
      </c>
      <c r="L23" s="208"/>
      <c r="M23" s="7"/>
      <c r="N23" s="6" t="s">
        <v>37</v>
      </c>
      <c r="O23" s="208"/>
      <c r="P23" s="7"/>
      <c r="Q23" s="25" t="s">
        <v>20</v>
      </c>
      <c r="R23" s="8" t="s">
        <v>192</v>
      </c>
      <c r="T23" s="207"/>
    </row>
    <row r="24" spans="1:20" ht="12" customHeight="1">
      <c r="A24" s="24" t="s">
        <v>39</v>
      </c>
      <c r="B24" s="9" t="s">
        <v>40</v>
      </c>
      <c r="C24" s="9" t="s">
        <v>41</v>
      </c>
      <c r="D24" s="9" t="s">
        <v>42</v>
      </c>
      <c r="E24" s="9" t="s">
        <v>43</v>
      </c>
      <c r="F24" s="9" t="s">
        <v>44</v>
      </c>
      <c r="G24" s="65"/>
      <c r="H24" s="351" t="s">
        <v>42</v>
      </c>
      <c r="I24" s="352" t="s">
        <v>43</v>
      </c>
      <c r="J24" s="353" t="s">
        <v>44</v>
      </c>
      <c r="K24" s="330" t="s">
        <v>228</v>
      </c>
      <c r="L24" s="331" t="s">
        <v>229</v>
      </c>
      <c r="M24" s="332" t="s">
        <v>225</v>
      </c>
      <c r="N24" s="331" t="s">
        <v>226</v>
      </c>
      <c r="O24" s="331" t="s">
        <v>227</v>
      </c>
      <c r="P24" s="379" t="s">
        <v>232</v>
      </c>
      <c r="Q24" s="325" t="s">
        <v>46</v>
      </c>
      <c r="R24" s="322" t="s">
        <v>193</v>
      </c>
      <c r="T24" s="207"/>
    </row>
    <row r="25" spans="1:20" ht="15.75" customHeight="1">
      <c r="A25" s="78"/>
      <c r="B25" s="79"/>
      <c r="C25" s="79"/>
      <c r="D25" s="80"/>
      <c r="E25" s="80"/>
      <c r="F25" s="80"/>
      <c r="G25" s="259"/>
      <c r="H25" s="317"/>
      <c r="I25" s="317"/>
      <c r="J25" s="318"/>
      <c r="K25" s="82"/>
      <c r="L25" s="309"/>
      <c r="M25" s="172"/>
      <c r="N25" s="82"/>
      <c r="O25" s="82"/>
      <c r="P25" s="82"/>
      <c r="Q25" s="82"/>
      <c r="R25" s="308"/>
      <c r="T25" s="207"/>
    </row>
    <row r="26" spans="1:20" s="167" customFormat="1" ht="15.75" customHeight="1">
      <c r="A26" s="260">
        <f ca="1">INDIRECT($T$3&amp;"!"&amp;ADDRESS($T26,COLUMN('0710'!C$4)))</f>
        <v>6.65</v>
      </c>
      <c r="B26" s="261">
        <f ca="1">INDIRECT($T$3&amp;"!"&amp;ADDRESS($T26,COLUMN('0710'!D$4)))</f>
        <v>6.7</v>
      </c>
      <c r="C26" s="261">
        <f ca="1">INDIRECT($T$3&amp;"!"&amp;ADDRESS($T26,COLUMN('0710'!E$4)))</f>
        <v>6.72</v>
      </c>
      <c r="D26" s="168">
        <f ca="1">INDIRECT($T$3&amp;"!"&amp;ADDRESS($T26,COLUMN('0710'!F$4)))</f>
        <v>14.4</v>
      </c>
      <c r="E26" s="168">
        <f ca="1">INDIRECT($T$3&amp;"!"&amp;ADDRESS($T26,COLUMN('0710'!G$4)))</f>
        <v>14.5</v>
      </c>
      <c r="F26" s="168">
        <f ca="1">INDIRECT($T$3&amp;"!"&amp;ADDRESS($T26,COLUMN('0710'!H$4)))</f>
        <v>8.1</v>
      </c>
      <c r="G26" s="262"/>
      <c r="H26" s="377">
        <f ca="1">INDIRECT($T$3&amp;"!"&amp;ADDRESS($T26,COLUMN('0710'!J$4)))</f>
        <v>2.4</v>
      </c>
      <c r="I26" s="377">
        <f ca="1">INDIRECT($T$3&amp;"!"&amp;ADDRESS($T26,COLUMN('0710'!K$4)))</f>
        <v>3.32</v>
      </c>
      <c r="J26" s="378">
        <f ca="1">INDIRECT($T$3&amp;"!"&amp;ADDRESS($T26,COLUMN('0710'!L$4)))</f>
        <v>2.94</v>
      </c>
      <c r="K26" s="310">
        <f ca="1">INDIRECT($T$3&amp;"!"&amp;ADDRESS($T26,COLUMN('0710'!M$4)))</f>
        <v>108</v>
      </c>
      <c r="L26" s="405">
        <f ca="1">INDIRECT($T$3&amp;"!"&amp;ADDRESS($T26,COLUMN('0710'!N$4)))</f>
        <v>108</v>
      </c>
      <c r="M26" s="405">
        <f ca="1">INDIRECT($T$3&amp;"!"&amp;ADDRESS($T26,COLUMN('0710'!O$4)))</f>
        <v>209</v>
      </c>
      <c r="N26" s="310">
        <f ca="1">INDIRECT($T$3&amp;"!"&amp;ADDRESS($T26,COLUMN('0710'!P$4)))</f>
        <v>197</v>
      </c>
      <c r="O26" s="310">
        <f ca="1">INDIRECT($T$3&amp;"!"&amp;ADDRESS($T26,COLUMN('0710'!Q$4)))</f>
        <v>156</v>
      </c>
      <c r="P26" s="310">
        <f ca="1">INDIRECT($T$3&amp;"!"&amp;ADDRESS($T26,COLUMN('0710'!R$4)))</f>
        <v>40</v>
      </c>
      <c r="Q26" s="310">
        <f ca="1">INDIRECT($T$3&amp;"!"&amp;ADDRESS($T26,COLUMN('0710'!S$4)))</f>
        <v>25</v>
      </c>
      <c r="R26" s="406">
        <f ca="1">INDIRECT($T$3&amp;"!"&amp;ADDRESS($T26,COLUMN('0710'!T$4)))</f>
        <v>7.39</v>
      </c>
      <c r="T26" s="207">
        <f>ROW('0710'!C172)+2</f>
        <v>174</v>
      </c>
    </row>
    <row r="27" spans="1:20" ht="12" customHeight="1">
      <c r="A27" s="149"/>
      <c r="B27" s="149"/>
      <c r="C27" s="34"/>
      <c r="D27" s="34"/>
      <c r="E27" s="34"/>
      <c r="F27" s="34"/>
      <c r="G27" s="21"/>
      <c r="H27" s="21"/>
      <c r="I27" s="21"/>
      <c r="J27" s="21"/>
      <c r="K27" s="21"/>
      <c r="L27" s="21"/>
      <c r="M27" s="21"/>
      <c r="N27" s="21"/>
      <c r="P27" s="408" t="s">
        <v>260</v>
      </c>
      <c r="Q27" s="34"/>
      <c r="R27" s="34"/>
      <c r="T27" s="207"/>
    </row>
    <row r="28" spans="1:20" ht="12" customHeight="1">
      <c r="A28" s="2" t="s">
        <v>221</v>
      </c>
      <c r="B28" s="3"/>
      <c r="C28" s="3"/>
      <c r="D28" s="3"/>
      <c r="E28" s="3"/>
      <c r="F28" s="3"/>
      <c r="G28" s="3"/>
      <c r="H28" s="3"/>
      <c r="I28" s="2" t="s">
        <v>258</v>
      </c>
      <c r="J28" s="3"/>
      <c r="K28" s="3"/>
      <c r="L28" s="3"/>
      <c r="M28" s="3"/>
      <c r="N28" s="4"/>
      <c r="O28" s="3"/>
      <c r="P28" s="4"/>
      <c r="Q28" s="307" t="s">
        <v>217</v>
      </c>
      <c r="R28" s="4"/>
      <c r="T28" s="207"/>
    </row>
    <row r="29" spans="1:20" ht="12" customHeight="1">
      <c r="A29" s="159" t="s">
        <v>123</v>
      </c>
      <c r="B29" s="208"/>
      <c r="C29" s="7"/>
      <c r="D29" s="6" t="s">
        <v>37</v>
      </c>
      <c r="E29" s="208"/>
      <c r="F29" s="7"/>
      <c r="G29" s="25" t="s">
        <v>20</v>
      </c>
      <c r="H29" s="25" t="s">
        <v>192</v>
      </c>
      <c r="I29" s="159" t="s">
        <v>123</v>
      </c>
      <c r="J29" s="208"/>
      <c r="K29" s="7"/>
      <c r="L29" s="6" t="s">
        <v>37</v>
      </c>
      <c r="M29" s="208"/>
      <c r="N29" s="7"/>
      <c r="O29" s="25" t="s">
        <v>20</v>
      </c>
      <c r="P29" s="8" t="s">
        <v>192</v>
      </c>
      <c r="Q29" s="357" t="s">
        <v>218</v>
      </c>
      <c r="R29" s="72"/>
      <c r="T29" s="207"/>
    </row>
    <row r="30" spans="1:20" ht="12" customHeight="1">
      <c r="A30" s="330" t="s">
        <v>39</v>
      </c>
      <c r="B30" s="331" t="s">
        <v>40</v>
      </c>
      <c r="C30" s="331" t="s">
        <v>41</v>
      </c>
      <c r="D30" s="331" t="s">
        <v>42</v>
      </c>
      <c r="E30" s="331" t="s">
        <v>43</v>
      </c>
      <c r="F30" s="331" t="s">
        <v>44</v>
      </c>
      <c r="G30" s="325" t="s">
        <v>46</v>
      </c>
      <c r="H30" s="325" t="s">
        <v>193</v>
      </c>
      <c r="I30" s="330" t="s">
        <v>230</v>
      </c>
      <c r="J30" s="331" t="s">
        <v>228</v>
      </c>
      <c r="K30" s="332" t="s">
        <v>147</v>
      </c>
      <c r="L30" s="331" t="s">
        <v>42</v>
      </c>
      <c r="M30" s="331" t="s">
        <v>43</v>
      </c>
      <c r="N30" s="379" t="s">
        <v>233</v>
      </c>
      <c r="O30" s="325" t="s">
        <v>46</v>
      </c>
      <c r="P30" s="322" t="s">
        <v>193</v>
      </c>
      <c r="Q30" s="358" t="s">
        <v>219</v>
      </c>
      <c r="R30" s="359" t="s">
        <v>220</v>
      </c>
      <c r="T30" s="207"/>
    </row>
    <row r="31" spans="1:20" ht="15.75" customHeight="1">
      <c r="A31" s="81"/>
      <c r="B31" s="79"/>
      <c r="C31" s="158"/>
      <c r="D31" s="215"/>
      <c r="E31" s="215"/>
      <c r="F31" s="215"/>
      <c r="G31" s="215"/>
      <c r="H31" s="302"/>
      <c r="I31" s="158"/>
      <c r="J31" s="215"/>
      <c r="K31" s="215"/>
      <c r="L31" s="215"/>
      <c r="M31" s="215"/>
      <c r="N31" s="215"/>
      <c r="O31" s="215"/>
      <c r="P31" s="302"/>
      <c r="Q31" s="215"/>
      <c r="R31" s="302"/>
      <c r="T31" s="207"/>
    </row>
    <row r="32" spans="1:20" s="167" customFormat="1" ht="15.75" customHeight="1">
      <c r="A32" s="169">
        <f ca="1">INDIRECT($T$3&amp;"!"&amp;ADDRESS($T32,COLUMN('0710'!C$4)))</f>
        <v>212</v>
      </c>
      <c r="B32" s="224">
        <f ca="1">INDIRECT($T$3&amp;"!"&amp;ADDRESS($T32,COLUMN('0710'!D$4)))</f>
        <v>211</v>
      </c>
      <c r="C32" s="224">
        <f ca="1">INDIRECT($T$3&amp;"!"&amp;ADDRESS($T32,COLUMN('0710'!E$4)))</f>
        <v>214</v>
      </c>
      <c r="D32" s="225">
        <f ca="1">INDIRECT($T$3&amp;"!"&amp;ADDRESS($T32,COLUMN('0710'!F$4)))</f>
        <v>7</v>
      </c>
      <c r="E32" s="225">
        <f ca="1">INDIRECT($T$3&amp;"!"&amp;ADDRESS($T32,COLUMN('0710'!G$4)))</f>
        <v>18</v>
      </c>
      <c r="F32" s="225">
        <f ca="1">INDIRECT($T$3&amp;"!"&amp;ADDRESS($T32,COLUMN('0710'!H$4)))</f>
        <v>13</v>
      </c>
      <c r="G32" s="225">
        <f ca="1">INDIRECT($T$3&amp;"!"&amp;ADDRESS($T32,COLUMN('0710'!I$4)))</f>
        <v>28</v>
      </c>
      <c r="H32" s="376">
        <f ca="1">INDIRECT($T$3&amp;"!"&amp;ADDRESS($T32,COLUMN('0710'!J$4)))</f>
        <v>23.4</v>
      </c>
      <c r="I32" s="224">
        <f ca="1">INDIRECT($T$3&amp;"!"&amp;ADDRESS($T32,COLUMN('0710'!K$4)))</f>
        <v>107</v>
      </c>
      <c r="J32" s="225">
        <f ca="1">INDIRECT($T$3&amp;"!"&amp;ADDRESS($T32,COLUMN('0710'!L$4)))</f>
        <v>106</v>
      </c>
      <c r="K32" s="225">
        <f ca="1">INDIRECT($T$3&amp;"!"&amp;ADDRESS($T32,COLUMN('0710'!M$4)))</f>
        <v>209</v>
      </c>
      <c r="L32" s="225">
        <f ca="1">INDIRECT($T$3&amp;"!"&amp;ADDRESS($T32,COLUMN('0710'!N$4)))</f>
        <v>256</v>
      </c>
      <c r="M32" s="225">
        <f ca="1">INDIRECT($T$3&amp;"!"&amp;ADDRESS($T32,COLUMN('0710'!O$4)))</f>
        <v>267</v>
      </c>
      <c r="N32" s="225">
        <f ca="1">INDIRECT($T$3&amp;"!"&amp;ADDRESS($T32,COLUMN('0710'!P$4)))</f>
        <v>24</v>
      </c>
      <c r="O32" s="225">
        <f ca="1">INDIRECT($T$3&amp;"!"&amp;ADDRESS($T32,COLUMN('0710'!Q$4)))</f>
        <v>25</v>
      </c>
      <c r="P32" s="376">
        <f ca="1">INDIRECT($T$3&amp;"!"&amp;ADDRESS($T32,COLUMN('0710'!R$4)))</f>
        <v>28.8</v>
      </c>
      <c r="Q32" s="225">
        <f ca="1">INDIRECT($T$3&amp;"!"&amp;ADDRESS($T32,COLUMN('0710'!S$4)))</f>
        <v>27</v>
      </c>
      <c r="R32" s="311">
        <f ca="1">INDIRECT($T$3&amp;"!"&amp;ADDRESS($T32,COLUMN('0710'!T$4)))</f>
        <v>36</v>
      </c>
      <c r="T32" s="207">
        <f>ROW('0710'!C248)+2</f>
        <v>250</v>
      </c>
    </row>
    <row r="33" spans="1:20" ht="15.75" customHeight="1">
      <c r="A33" s="34"/>
      <c r="B33" s="34"/>
      <c r="C33" s="34"/>
      <c r="D33" s="34"/>
      <c r="E33" s="34"/>
      <c r="F33" s="34"/>
      <c r="G33" s="149"/>
      <c r="H33" s="575" t="s">
        <v>353</v>
      </c>
      <c r="I33" s="149"/>
      <c r="J33" s="149"/>
      <c r="K33" s="149"/>
      <c r="N33" s="409" t="s">
        <v>210</v>
      </c>
      <c r="R33" s="532" t="s">
        <v>311</v>
      </c>
      <c r="T33" s="207"/>
    </row>
    <row r="34" spans="1:19" s="103" customFormat="1" ht="18" customHeight="1">
      <c r="A34" s="234"/>
      <c r="B34" s="228" t="s">
        <v>255</v>
      </c>
      <c r="C34" s="119"/>
      <c r="D34" s="119"/>
      <c r="E34" s="119"/>
      <c r="F34" s="119"/>
      <c r="G34" s="119"/>
      <c r="H34" s="380" t="str">
        <f>'0710'!I322</f>
        <v>HS-80-6E（3セル／個）4個組　液式鉛蓄電池《古川》2011.12</v>
      </c>
      <c r="I34" s="119"/>
      <c r="J34" s="119"/>
      <c r="K34" s="119"/>
      <c r="L34" s="119"/>
      <c r="M34" s="119"/>
      <c r="N34" s="119"/>
      <c r="O34" s="119"/>
      <c r="P34" s="119"/>
      <c r="Q34" s="119"/>
      <c r="R34" s="381"/>
      <c r="S34" s="266"/>
    </row>
    <row r="35" spans="1:19" s="103" customFormat="1" ht="13.5" customHeight="1">
      <c r="A35" s="227" t="s">
        <v>234</v>
      </c>
      <c r="B35" s="229" t="s">
        <v>235</v>
      </c>
      <c r="C35" s="230"/>
      <c r="D35" s="128" t="s">
        <v>236</v>
      </c>
      <c r="E35" s="129"/>
      <c r="F35" s="689" t="str">
        <f>'0710'!F323</f>
        <v>(　　 補液 ＿＿＿＿cc)</v>
      </c>
      <c r="G35" s="689"/>
      <c r="H35" s="689"/>
      <c r="I35" s="690"/>
      <c r="J35" s="384" t="str">
        <f>'0710'!K323</f>
        <v>○</v>
      </c>
      <c r="K35" s="385" t="str">
        <f>IF('0710'!L323="","",'0710'!L323)</f>
        <v>全数目視点検　MAXの 100～130％</v>
      </c>
      <c r="L35" s="235"/>
      <c r="M35" s="235"/>
      <c r="N35" s="457"/>
      <c r="O35" s="457"/>
      <c r="P35" s="457"/>
      <c r="Q35" s="235"/>
      <c r="R35" s="386"/>
      <c r="S35" s="266"/>
    </row>
    <row r="36" spans="1:19" s="103" customFormat="1" ht="12">
      <c r="A36" s="227" t="s">
        <v>237</v>
      </c>
      <c r="B36" s="387" t="s">
        <v>181</v>
      </c>
      <c r="C36" s="388" t="s">
        <v>238</v>
      </c>
      <c r="D36" s="129"/>
      <c r="E36" s="129"/>
      <c r="F36" s="129"/>
      <c r="G36" s="129"/>
      <c r="H36" s="382"/>
      <c r="I36" s="383"/>
      <c r="J36" s="384" t="str">
        <f>'0710'!K324</f>
        <v>○</v>
      </c>
      <c r="K36" s="525">
        <f>IF('0710'!L324="","",'0710'!L324)</f>
      </c>
      <c r="L36" s="235"/>
      <c r="M36" s="235"/>
      <c r="N36" s="235"/>
      <c r="O36" s="235"/>
      <c r="P36" s="235"/>
      <c r="Q36" s="235"/>
      <c r="R36" s="386"/>
      <c r="S36" s="266"/>
    </row>
    <row r="37" spans="1:19" s="103" customFormat="1" ht="12">
      <c r="A37" s="227" t="s">
        <v>239</v>
      </c>
      <c r="B37" s="387" t="s">
        <v>189</v>
      </c>
      <c r="C37" s="399">
        <v>1.24</v>
      </c>
      <c r="D37" s="235" t="s">
        <v>240</v>
      </c>
      <c r="E37" s="129"/>
      <c r="F37" s="235" t="s">
        <v>241</v>
      </c>
      <c r="G37" s="129"/>
      <c r="H37" s="382"/>
      <c r="I37" s="383"/>
      <c r="J37" s="384" t="str">
        <f>'0710'!K325</f>
        <v>○</v>
      </c>
      <c r="K37" s="525">
        <f>IF('0710'!L325="","",'0710'!L325)</f>
      </c>
      <c r="L37" s="235"/>
      <c r="M37" s="235"/>
      <c r="N37" s="235"/>
      <c r="O37" s="235"/>
      <c r="P37" s="235"/>
      <c r="Q37" s="235"/>
      <c r="R37" s="386"/>
      <c r="S37" s="266"/>
    </row>
    <row r="38" spans="1:19" s="103" customFormat="1" ht="12">
      <c r="A38" s="227"/>
      <c r="B38" s="387" t="s">
        <v>242</v>
      </c>
      <c r="C38" s="128" t="s">
        <v>243</v>
      </c>
      <c r="D38" s="129"/>
      <c r="E38" s="129"/>
      <c r="F38" s="443"/>
      <c r="G38" s="391" t="s">
        <v>244</v>
      </c>
      <c r="H38" s="444"/>
      <c r="I38" s="383" t="s">
        <v>167</v>
      </c>
      <c r="J38" s="384" t="str">
        <f>'0710'!K326</f>
        <v>○</v>
      </c>
      <c r="K38" s="385" t="s">
        <v>272</v>
      </c>
      <c r="L38" s="235"/>
      <c r="M38" s="235"/>
      <c r="N38" s="235"/>
      <c r="O38" s="235"/>
      <c r="P38" s="457"/>
      <c r="Q38" s="457"/>
      <c r="R38" s="386"/>
      <c r="S38" s="266"/>
    </row>
    <row r="39" spans="1:19" s="103" customFormat="1" ht="12">
      <c r="A39" s="231"/>
      <c r="B39" s="232" t="s">
        <v>245</v>
      </c>
      <c r="C39" s="139"/>
      <c r="D39" s="233"/>
      <c r="E39" s="429" t="s">
        <v>246</v>
      </c>
      <c r="F39" s="139"/>
      <c r="G39" s="139"/>
      <c r="H39" s="393"/>
      <c r="I39" s="394"/>
      <c r="J39" s="430" t="str">
        <f>'0710'!K327</f>
        <v>○</v>
      </c>
      <c r="K39" s="429" t="s">
        <v>247</v>
      </c>
      <c r="L39" s="431"/>
      <c r="M39" s="431"/>
      <c r="N39" s="431"/>
      <c r="O39" s="431"/>
      <c r="P39" s="431"/>
      <c r="Q39" s="431"/>
      <c r="R39" s="432"/>
      <c r="S39" s="266"/>
    </row>
    <row r="40" spans="1:18" ht="12">
      <c r="A40" s="294" t="s">
        <v>186</v>
      </c>
      <c r="B40" s="427">
        <v>1</v>
      </c>
      <c r="C40" s="427">
        <v>2</v>
      </c>
      <c r="D40" s="427">
        <v>3</v>
      </c>
      <c r="E40" s="427">
        <v>4</v>
      </c>
      <c r="F40" s="427">
        <v>5</v>
      </c>
      <c r="G40" s="427">
        <v>6</v>
      </c>
      <c r="H40" s="427">
        <v>7</v>
      </c>
      <c r="I40" s="427">
        <v>8</v>
      </c>
      <c r="J40" s="427">
        <v>9</v>
      </c>
      <c r="K40" s="427">
        <v>10</v>
      </c>
      <c r="L40" s="427">
        <v>11</v>
      </c>
      <c r="M40" s="428">
        <v>12</v>
      </c>
      <c r="N40" s="441" t="s">
        <v>390</v>
      </c>
      <c r="O40" s="442"/>
      <c r="P40" s="670">
        <v>41036</v>
      </c>
      <c r="Q40" s="670"/>
      <c r="R40" s="671"/>
    </row>
    <row r="41" spans="1:18" ht="12">
      <c r="A41" s="294" t="s">
        <v>187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438"/>
      <c r="O41" s="27"/>
      <c r="P41" s="27"/>
      <c r="Q41" s="27"/>
      <c r="R41" s="439"/>
    </row>
    <row r="42" spans="1:18" ht="12">
      <c r="A42" s="294" t="s">
        <v>189</v>
      </c>
      <c r="B42" s="290"/>
      <c r="C42" s="290"/>
      <c r="D42" s="290"/>
      <c r="E42" s="290"/>
      <c r="F42" s="290"/>
      <c r="G42" s="290"/>
      <c r="H42" s="290"/>
      <c r="I42" s="290"/>
      <c r="J42" s="290"/>
      <c r="K42" s="290"/>
      <c r="L42" s="290"/>
      <c r="M42" s="290"/>
      <c r="N42" s="438"/>
      <c r="O42" s="27"/>
      <c r="P42" s="27"/>
      <c r="Q42" s="27"/>
      <c r="R42" s="439"/>
    </row>
    <row r="43" spans="1:18" ht="12">
      <c r="A43" s="312" t="s">
        <v>182</v>
      </c>
      <c r="B43" s="290"/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440"/>
      <c r="O43" s="41"/>
      <c r="P43" s="41"/>
      <c r="Q43" s="41"/>
      <c r="R43" s="42"/>
    </row>
    <row r="44" spans="1:13" ht="12">
      <c r="A44" s="335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1:13" ht="15" customHeight="1">
      <c r="A45" s="43" t="s">
        <v>198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8" s="527" customFormat="1" ht="12">
      <c r="A46" s="528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O46" s="526"/>
      <c r="P46" s="526"/>
      <c r="Q46" s="526"/>
      <c r="R46" s="526"/>
    </row>
    <row r="47" spans="1:18" ht="12">
      <c r="A47" s="91"/>
      <c r="B47" s="47"/>
      <c r="C47" s="421"/>
      <c r="D47" s="421"/>
      <c r="E47" s="421"/>
      <c r="F47" s="421"/>
      <c r="G47" s="421"/>
      <c r="I47" s="421"/>
      <c r="J47" s="421"/>
      <c r="K47" s="421"/>
      <c r="L47" s="421"/>
      <c r="M47" s="266"/>
      <c r="N47" s="266"/>
      <c r="O47" s="266"/>
      <c r="P47" s="266"/>
      <c r="Q47" s="266"/>
      <c r="R47" s="266"/>
    </row>
  </sheetData>
  <sheetProtection/>
  <mergeCells count="30">
    <mergeCell ref="F35:I35"/>
    <mergeCell ref="C15:D15"/>
    <mergeCell ref="C13:D13"/>
    <mergeCell ref="C14:D14"/>
    <mergeCell ref="A16:B16"/>
    <mergeCell ref="C16:D16"/>
    <mergeCell ref="A13:B14"/>
    <mergeCell ref="A15:B15"/>
    <mergeCell ref="P40:R40"/>
    <mergeCell ref="O8:P8"/>
    <mergeCell ref="G8:H8"/>
    <mergeCell ref="O20:Q20"/>
    <mergeCell ref="I9:J9"/>
    <mergeCell ref="K9:L9"/>
    <mergeCell ref="M8:N8"/>
    <mergeCell ref="G9:H9"/>
    <mergeCell ref="O9:P9"/>
    <mergeCell ref="M9:N9"/>
    <mergeCell ref="J3:K3"/>
    <mergeCell ref="I8:J8"/>
    <mergeCell ref="K8:L8"/>
    <mergeCell ref="E9:F9"/>
    <mergeCell ref="H3:I3"/>
    <mergeCell ref="A9:B9"/>
    <mergeCell ref="C9:D9"/>
    <mergeCell ref="C2:G3"/>
    <mergeCell ref="A2:B3"/>
    <mergeCell ref="A8:B8"/>
    <mergeCell ref="C8:D8"/>
    <mergeCell ref="E8:F8"/>
  </mergeCells>
  <conditionalFormatting sqref="C15:D16">
    <cfRule type="cellIs" priority="1" dxfId="0" operator="equal" stopIfTrue="1">
      <formula>$C$6</formula>
    </cfRule>
  </conditionalFormatting>
  <conditionalFormatting sqref="J35:J39">
    <cfRule type="cellIs" priority="2" dxfId="16" operator="equal" stopIfTrue="1">
      <formula>"×"</formula>
    </cfRule>
  </conditionalFormatting>
  <dataValidations count="2">
    <dataValidation allowBlank="1" showInputMessage="1" showErrorMessage="1" imeMode="off" sqref="A21:H21 R26 H25:R25 A31:R32 A25:G26 O16:P16 J15:R15 H12:H13 C15:E16 P9 F9 H9 J9 D9 L9 R9 I8:I9 N9 K8:K9 B9 A8:A9 Q8:Q9 M8:M9 G8:G9 O8:O9 E8:E9 C8:C9 A15:A16 G16:H16 L26:M26"/>
    <dataValidation allowBlank="1" showInputMessage="1" showErrorMessage="1" imeMode="hiragana" sqref="A22 Q2:R2 C2"/>
  </dataValidations>
  <printOptions/>
  <pageMargins left="0.79" right="0.11811023622047245" top="0.7874015748031497" bottom="0.59" header="0.5905511811023623" footer="0.34"/>
  <pageSetup horizontalDpi="300" verticalDpi="300" orientation="portrait" paperSize="9" r:id="rId1"/>
  <headerFooter alignWithMargins="0">
    <oddHeader>&amp;C&amp;"ＭＳ 明朝,標準"&amp;14電気工作物通常（月次）点検メモ</oddHeader>
    <oddFooter>&amp;L&amp;"ＭＳ Ｐ明朝,標準"&amp;8&amp;F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I32" sqref="I32"/>
    </sheetView>
  </sheetViews>
  <sheetFormatPr defaultColWidth="9.00390625" defaultRowHeight="13.5"/>
  <cols>
    <col min="1" max="1" width="6.50390625" style="273" customWidth="1"/>
    <col min="2" max="2" width="4.75390625" style="272" customWidth="1"/>
    <col min="3" max="20" width="4.75390625" style="273" customWidth="1"/>
    <col min="21" max="16384" width="9.00390625" style="273" customWidth="1"/>
  </cols>
  <sheetData>
    <row r="1" spans="1:22" s="287" customFormat="1" ht="12">
      <c r="A1" s="695">
        <v>41368</v>
      </c>
      <c r="B1" s="695"/>
      <c r="C1" s="695"/>
      <c r="D1" s="695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66"/>
      <c r="V1" s="103"/>
    </row>
    <row r="2" spans="1:20" s="103" customFormat="1" ht="13.5" customHeight="1">
      <c r="A2" s="227"/>
      <c r="B2" s="304" t="s">
        <v>341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283"/>
    </row>
    <row r="3" spans="1:20" s="103" customFormat="1" ht="13.5" customHeight="1">
      <c r="A3" s="227"/>
      <c r="B3" s="304"/>
      <c r="C3" s="47" t="s">
        <v>342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283"/>
    </row>
    <row r="4" spans="1:22" s="287" customFormat="1" ht="12">
      <c r="A4" s="695">
        <v>41156</v>
      </c>
      <c r="B4" s="695"/>
      <c r="C4" s="695"/>
      <c r="D4" s="695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66"/>
      <c r="V4" s="103"/>
    </row>
    <row r="5" spans="1:20" s="103" customFormat="1" ht="13.5" customHeight="1">
      <c r="A5" s="227"/>
      <c r="B5" s="572" t="s">
        <v>215</v>
      </c>
      <c r="C5" s="47" t="s">
        <v>351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283"/>
    </row>
    <row r="6" spans="1:20" s="103" customFormat="1" ht="13.5" customHeight="1">
      <c r="A6" s="227"/>
      <c r="B6" s="304"/>
      <c r="C6" s="47" t="s">
        <v>383</v>
      </c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283"/>
    </row>
    <row r="7" spans="1:20" s="103" customFormat="1" ht="13.5" customHeight="1">
      <c r="A7" s="227"/>
      <c r="B7" s="422" t="s">
        <v>385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283"/>
    </row>
    <row r="8" spans="1:20" s="103" customFormat="1" ht="13.5" customHeight="1">
      <c r="A8" s="227"/>
      <c r="B8" s="304"/>
      <c r="C8" s="47" t="s">
        <v>384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283"/>
    </row>
    <row r="9" spans="1:22" s="287" customFormat="1" ht="12">
      <c r="A9" s="695">
        <v>41036</v>
      </c>
      <c r="B9" s="695"/>
      <c r="C9" s="695"/>
      <c r="D9" s="695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66"/>
      <c r="V9" s="103"/>
    </row>
    <row r="10" spans="1:20" s="103" customFormat="1" ht="13.5" customHeight="1">
      <c r="A10" s="227"/>
      <c r="B10" s="304" t="s">
        <v>343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283"/>
    </row>
    <row r="11" spans="1:20" s="103" customFormat="1" ht="13.5" customHeight="1">
      <c r="A11" s="227"/>
      <c r="B11" s="572" t="s">
        <v>214</v>
      </c>
      <c r="C11" s="47" t="s">
        <v>344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283"/>
    </row>
    <row r="12" spans="1:20" s="103" customFormat="1" ht="13.5" customHeight="1">
      <c r="A12" s="227"/>
      <c r="B12" s="304"/>
      <c r="C12" s="47" t="s">
        <v>374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283"/>
    </row>
    <row r="13" spans="1:21" s="103" customFormat="1" ht="23.25" customHeight="1">
      <c r="A13" s="234"/>
      <c r="B13" s="228" t="s">
        <v>255</v>
      </c>
      <c r="C13" s="119"/>
      <c r="D13" s="119"/>
      <c r="E13" s="119"/>
      <c r="F13" s="119"/>
      <c r="G13" s="119"/>
      <c r="H13" s="119"/>
      <c r="I13" s="380" t="s">
        <v>253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381"/>
      <c r="U13" s="266"/>
    </row>
    <row r="14" spans="1:21" s="103" customFormat="1" ht="12">
      <c r="A14" s="227" t="s">
        <v>234</v>
      </c>
      <c r="B14" s="229" t="s">
        <v>235</v>
      </c>
      <c r="C14" s="230"/>
      <c r="D14" s="128" t="s">
        <v>236</v>
      </c>
      <c r="E14" s="129"/>
      <c r="F14" s="129" t="s">
        <v>348</v>
      </c>
      <c r="G14" s="129"/>
      <c r="H14" s="129"/>
      <c r="I14" s="382"/>
      <c r="J14" s="383"/>
      <c r="K14" s="384" t="s">
        <v>158</v>
      </c>
      <c r="L14" s="385" t="s">
        <v>359</v>
      </c>
      <c r="M14" s="235"/>
      <c r="N14" s="235"/>
      <c r="O14" s="235"/>
      <c r="P14" s="235"/>
      <c r="Q14" s="235"/>
      <c r="R14" s="235"/>
      <c r="S14" s="235"/>
      <c r="T14" s="386"/>
      <c r="U14" s="266"/>
    </row>
    <row r="15" spans="1:21" s="103" customFormat="1" ht="12">
      <c r="A15" s="227" t="s">
        <v>237</v>
      </c>
      <c r="B15" s="387" t="s">
        <v>181</v>
      </c>
      <c r="C15" s="388" t="s">
        <v>238</v>
      </c>
      <c r="D15" s="129"/>
      <c r="E15" s="129"/>
      <c r="F15" s="129"/>
      <c r="G15" s="129"/>
      <c r="H15" s="129"/>
      <c r="I15" s="382"/>
      <c r="J15" s="383"/>
      <c r="K15" s="384" t="s">
        <v>62</v>
      </c>
      <c r="L15" s="525" t="s">
        <v>360</v>
      </c>
      <c r="M15" s="235"/>
      <c r="N15" s="235"/>
      <c r="O15" s="235"/>
      <c r="P15" s="235"/>
      <c r="Q15" s="235"/>
      <c r="R15" s="235"/>
      <c r="S15" s="235"/>
      <c r="T15" s="386"/>
      <c r="U15" s="266"/>
    </row>
    <row r="16" spans="1:21" s="103" customFormat="1" ht="12">
      <c r="A16" s="227" t="s">
        <v>239</v>
      </c>
      <c r="B16" s="387" t="s">
        <v>189</v>
      </c>
      <c r="C16" s="399">
        <v>1.24</v>
      </c>
      <c r="D16" s="235" t="s">
        <v>240</v>
      </c>
      <c r="E16" s="129"/>
      <c r="F16" s="235" t="s">
        <v>241</v>
      </c>
      <c r="G16" s="389"/>
      <c r="H16" s="129"/>
      <c r="I16" s="382"/>
      <c r="J16" s="383"/>
      <c r="K16" s="384" t="s">
        <v>62</v>
      </c>
      <c r="L16" s="573"/>
      <c r="M16" s="235"/>
      <c r="N16" s="235"/>
      <c r="O16" s="235"/>
      <c r="P16" s="235"/>
      <c r="Q16" s="235"/>
      <c r="R16" s="235"/>
      <c r="S16" s="235"/>
      <c r="T16" s="386"/>
      <c r="U16" s="266"/>
    </row>
    <row r="17" spans="1:21" s="103" customFormat="1" ht="12">
      <c r="A17" s="227"/>
      <c r="B17" s="387" t="s">
        <v>242</v>
      </c>
      <c r="C17" s="128" t="s">
        <v>243</v>
      </c>
      <c r="D17" s="129"/>
      <c r="E17" s="129"/>
      <c r="F17" s="390">
        <v>18</v>
      </c>
      <c r="G17" s="391" t="s">
        <v>244</v>
      </c>
      <c r="H17" s="392">
        <v>18</v>
      </c>
      <c r="I17" s="382"/>
      <c r="J17" s="383"/>
      <c r="K17" s="384" t="s">
        <v>62</v>
      </c>
      <c r="L17" s="385" t="s">
        <v>361</v>
      </c>
      <c r="M17" s="235"/>
      <c r="N17" s="235"/>
      <c r="O17" s="235"/>
      <c r="P17" s="235"/>
      <c r="Q17" s="235"/>
      <c r="R17" s="235"/>
      <c r="S17" s="235"/>
      <c r="T17" s="386"/>
      <c r="U17" s="266"/>
    </row>
    <row r="18" spans="1:21" s="103" customFormat="1" ht="12">
      <c r="A18" s="231"/>
      <c r="B18" s="232" t="s">
        <v>245</v>
      </c>
      <c r="C18" s="139"/>
      <c r="D18" s="233"/>
      <c r="E18" s="429" t="s">
        <v>246</v>
      </c>
      <c r="F18" s="139"/>
      <c r="G18" s="139"/>
      <c r="H18" s="139"/>
      <c r="I18" s="393"/>
      <c r="J18" s="394"/>
      <c r="K18" s="430" t="s">
        <v>62</v>
      </c>
      <c r="L18" s="429" t="s">
        <v>247</v>
      </c>
      <c r="M18" s="431"/>
      <c r="N18" s="431"/>
      <c r="O18" s="431"/>
      <c r="P18" s="431"/>
      <c r="Q18" s="431"/>
      <c r="R18" s="431"/>
      <c r="S18" s="431"/>
      <c r="T18" s="432"/>
      <c r="U18" s="266"/>
    </row>
    <row r="19" spans="1:21" s="103" customFormat="1" ht="12">
      <c r="A19" s="518"/>
      <c r="B19" s="433" t="s">
        <v>180</v>
      </c>
      <c r="C19" s="434">
        <v>1</v>
      </c>
      <c r="D19" s="434">
        <v>2</v>
      </c>
      <c r="E19" s="434">
        <v>3</v>
      </c>
      <c r="F19" s="434">
        <v>4</v>
      </c>
      <c r="G19" s="434">
        <v>5</v>
      </c>
      <c r="H19" s="434">
        <v>6</v>
      </c>
      <c r="I19" s="434">
        <v>7</v>
      </c>
      <c r="J19" s="434">
        <v>8</v>
      </c>
      <c r="K19" s="434">
        <v>9</v>
      </c>
      <c r="L19" s="434">
        <v>10</v>
      </c>
      <c r="M19" s="434">
        <v>11</v>
      </c>
      <c r="N19" s="434">
        <v>12</v>
      </c>
      <c r="O19" s="435"/>
      <c r="P19" s="436"/>
      <c r="Q19" s="436"/>
      <c r="R19" s="436"/>
      <c r="S19" s="436"/>
      <c r="T19" s="437"/>
      <c r="U19" s="266"/>
    </row>
    <row r="20" spans="1:21" s="103" customFormat="1" ht="12">
      <c r="A20" s="518" t="s">
        <v>305</v>
      </c>
      <c r="B20" s="516" t="s">
        <v>181</v>
      </c>
      <c r="C20" s="397">
        <v>2.1830000000000003</v>
      </c>
      <c r="D20" s="397">
        <v>2.1310000000000002</v>
      </c>
      <c r="E20" s="397">
        <v>2.178</v>
      </c>
      <c r="F20" s="397">
        <v>2.177</v>
      </c>
      <c r="G20" s="397">
        <v>2.1790000000000003</v>
      </c>
      <c r="H20" s="397">
        <v>2.18</v>
      </c>
      <c r="I20" s="397">
        <v>2.1790000000000003</v>
      </c>
      <c r="J20" s="397">
        <v>2.18</v>
      </c>
      <c r="K20" s="397">
        <v>2.1790000000000003</v>
      </c>
      <c r="L20" s="397">
        <v>2.18</v>
      </c>
      <c r="M20" s="397">
        <v>2.181</v>
      </c>
      <c r="N20" s="397">
        <v>2.1790000000000003</v>
      </c>
      <c r="O20" s="400"/>
      <c r="P20" s="401"/>
      <c r="Q20" s="401"/>
      <c r="R20" s="401"/>
      <c r="S20" s="401"/>
      <c r="T20" s="402"/>
      <c r="U20" s="266"/>
    </row>
    <row r="21" spans="1:21" s="103" customFormat="1" ht="12">
      <c r="A21" s="518" t="s">
        <v>306</v>
      </c>
      <c r="B21" s="396" t="s">
        <v>251</v>
      </c>
      <c r="C21" s="397">
        <v>1.248</v>
      </c>
      <c r="D21" s="397">
        <v>1.25</v>
      </c>
      <c r="E21" s="397">
        <v>1.25</v>
      </c>
      <c r="F21" s="397">
        <v>1.2489999999999999</v>
      </c>
      <c r="G21" s="397">
        <v>1.2489999999999999</v>
      </c>
      <c r="H21" s="397">
        <v>1.2489999999999999</v>
      </c>
      <c r="I21" s="397">
        <v>1.248</v>
      </c>
      <c r="J21" s="397">
        <v>1.246</v>
      </c>
      <c r="K21" s="397">
        <v>1.2469999999999999</v>
      </c>
      <c r="L21" s="397">
        <v>1.246</v>
      </c>
      <c r="M21" s="397">
        <v>1.2469999999999999</v>
      </c>
      <c r="N21" s="397">
        <v>1.246</v>
      </c>
      <c r="O21" s="400"/>
      <c r="P21" s="401"/>
      <c r="Q21" s="401"/>
      <c r="R21" s="401"/>
      <c r="S21" s="401"/>
      <c r="T21" s="402"/>
      <c r="U21" s="266"/>
    </row>
    <row r="22" spans="1:21" s="103" customFormat="1" ht="12">
      <c r="A22" s="518" t="s">
        <v>307</v>
      </c>
      <c r="B22" s="396" t="s">
        <v>252</v>
      </c>
      <c r="C22" s="397">
        <v>1.2466</v>
      </c>
      <c r="D22" s="397">
        <v>1.2486</v>
      </c>
      <c r="E22" s="397">
        <v>1.2486</v>
      </c>
      <c r="F22" s="397">
        <v>1.2475999999999998</v>
      </c>
      <c r="G22" s="397">
        <v>1.2475999999999998</v>
      </c>
      <c r="H22" s="397">
        <v>1.2475999999999998</v>
      </c>
      <c r="I22" s="397">
        <v>1.2466</v>
      </c>
      <c r="J22" s="397">
        <v>1.2446</v>
      </c>
      <c r="K22" s="397">
        <v>1.2455999999999998</v>
      </c>
      <c r="L22" s="397">
        <v>1.2446</v>
      </c>
      <c r="M22" s="397">
        <v>1.2455999999999998</v>
      </c>
      <c r="N22" s="514">
        <v>1.2446</v>
      </c>
      <c r="O22" s="400"/>
      <c r="P22" s="401"/>
      <c r="Q22" s="401"/>
      <c r="R22" s="401"/>
      <c r="S22" s="401"/>
      <c r="T22" s="402"/>
      <c r="U22" s="266"/>
    </row>
    <row r="23" spans="1:21" s="103" customFormat="1" ht="12">
      <c r="A23" s="518"/>
      <c r="B23" s="519" t="s">
        <v>182</v>
      </c>
      <c r="C23" s="520">
        <v>1.5</v>
      </c>
      <c r="D23" s="520">
        <v>1.5</v>
      </c>
      <c r="E23" s="520">
        <v>1</v>
      </c>
      <c r="F23" s="520">
        <v>1.1</v>
      </c>
      <c r="G23" s="520">
        <v>1.2</v>
      </c>
      <c r="H23" s="520">
        <v>1.1</v>
      </c>
      <c r="I23" s="520">
        <v>1.2</v>
      </c>
      <c r="J23" s="520">
        <v>1.2</v>
      </c>
      <c r="K23" s="520">
        <v>1.5</v>
      </c>
      <c r="L23" s="520">
        <v>1.3</v>
      </c>
      <c r="M23" s="520">
        <v>1.2</v>
      </c>
      <c r="N23" s="520">
        <v>1.3</v>
      </c>
      <c r="O23" s="400"/>
      <c r="P23" s="401"/>
      <c r="Q23" s="47"/>
      <c r="R23" s="47"/>
      <c r="S23" s="47"/>
      <c r="T23" s="283"/>
      <c r="U23" s="266"/>
    </row>
    <row r="24" spans="1:22" s="287" customFormat="1" ht="12">
      <c r="A24" s="695">
        <v>41004</v>
      </c>
      <c r="B24" s="695"/>
      <c r="C24" s="695"/>
      <c r="D24" s="695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66"/>
      <c r="V24" s="103"/>
    </row>
    <row r="25" spans="1:20" s="103" customFormat="1" ht="13.5" customHeight="1">
      <c r="A25" s="227"/>
      <c r="B25" s="304" t="s">
        <v>356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283"/>
    </row>
    <row r="26" spans="1:20" s="103" customFormat="1" ht="13.5" customHeight="1">
      <c r="A26" s="227"/>
      <c r="B26" s="572"/>
      <c r="C26" s="47" t="s">
        <v>354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283"/>
    </row>
    <row r="27" spans="1:20" s="103" customFormat="1" ht="13.5" customHeight="1">
      <c r="A27" s="227"/>
      <c r="B27" s="304"/>
      <c r="C27" s="47" t="s">
        <v>355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283"/>
    </row>
  </sheetData>
  <sheetProtection/>
  <mergeCells count="4">
    <mergeCell ref="A9:D9"/>
    <mergeCell ref="A24:D24"/>
    <mergeCell ref="A1:D1"/>
    <mergeCell ref="A4:D4"/>
  </mergeCells>
  <conditionalFormatting sqref="C20:T20">
    <cfRule type="cellIs" priority="1" dxfId="2" operator="greaterThan" stopIfTrue="1">
      <formula>2.23</formula>
    </cfRule>
    <cfRule type="cellIs" priority="2" dxfId="2" operator="between" stopIfTrue="1">
      <formula>0.01</formula>
      <formula>2.129</formula>
    </cfRule>
  </conditionalFormatting>
  <conditionalFormatting sqref="C22:N22">
    <cfRule type="cellIs" priority="3" dxfId="2" operator="between" stopIfTrue="1">
      <formula>1.25</formula>
      <formula>2000</formula>
    </cfRule>
    <cfRule type="cellIs" priority="4" dxfId="2" operator="between" stopIfTrue="1">
      <formula>0.1</formula>
      <formula>1.229</formula>
    </cfRule>
  </conditionalFormatting>
  <conditionalFormatting sqref="K14:K18">
    <cfRule type="cellIs" priority="5" dxfId="15" operator="equal" stopIfTrue="1">
      <formula>"×"</formula>
    </cfRule>
  </conditionalFormatting>
  <dataValidations count="1">
    <dataValidation allowBlank="1" showInputMessage="1" showErrorMessage="1" imeMode="off" sqref="C19:P23 Q19:T22"/>
  </dataValidations>
  <printOptions/>
  <pageMargins left="0.7" right="0.24" top="0.71" bottom="0.42" header="0.4" footer="0.32"/>
  <pageSetup horizontalDpi="300" verticalDpi="300" orientation="portrait" paperSize="9" scale="90" r:id="rId2"/>
  <headerFooter alignWithMargins="0">
    <oddHeader>&amp;C&amp;"ＭＳ 明朝,標準"&amp;14特記事項</oddHeader>
    <oddFooter>&amp;L&amp;"ＭＳ Ｐ明朝,標準"&amp;8&amp;F&amp;C&amp;"ＭＳ 明朝,標準"&amp;10&amp;P／&amp;N&amp;R&amp;"ＭＳ 明朝,標準"&amp;9一般社団法人北陸電気管理技術者協会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65"/>
  <sheetViews>
    <sheetView workbookViewId="0" topLeftCell="A1">
      <selection activeCell="T2" sqref="T2"/>
    </sheetView>
  </sheetViews>
  <sheetFormatPr defaultColWidth="9.00390625" defaultRowHeight="13.5"/>
  <cols>
    <col min="1" max="1" width="11.50390625" style="106" customWidth="1"/>
    <col min="2" max="16" width="4.00390625" style="103" customWidth="1"/>
    <col min="17" max="18" width="7.625" style="103" customWidth="1"/>
    <col min="19" max="19" width="9.50390625" style="103" customWidth="1"/>
    <col min="20" max="21" width="8.875" style="103" customWidth="1"/>
    <col min="22" max="22" width="6.00390625" style="103" customWidth="1"/>
    <col min="23" max="24" width="9.50390625" style="103" customWidth="1"/>
    <col min="25" max="32" width="9.00390625" style="103" customWidth="1"/>
    <col min="33" max="33" width="1.4921875" style="103" customWidth="1"/>
    <col min="34" max="35" width="7.375" style="103" customWidth="1"/>
    <col min="36" max="16384" width="9.00390625" style="103" customWidth="1"/>
  </cols>
  <sheetData>
    <row r="1" spans="12:16" ht="13.5" customHeight="1">
      <c r="L1" s="533"/>
      <c r="M1" s="533"/>
      <c r="N1" s="533"/>
      <c r="O1" s="533"/>
      <c r="P1" s="533"/>
    </row>
    <row r="2" spans="1:32" ht="18" customHeight="1">
      <c r="A2" s="107" t="s">
        <v>12</v>
      </c>
      <c r="B2" s="534" t="str">
        <f>'0710'!D2&amp;" 様"</f>
        <v>株式会社○○ 富山店 様</v>
      </c>
      <c r="C2" s="534"/>
      <c r="D2" s="534"/>
      <c r="E2" s="534"/>
      <c r="F2" s="534"/>
      <c r="G2" s="534"/>
      <c r="H2" s="534"/>
      <c r="I2" s="535"/>
      <c r="J2" s="535"/>
      <c r="K2" s="535"/>
      <c r="L2" s="535"/>
      <c r="M2" s="535"/>
      <c r="N2" s="535"/>
      <c r="O2" s="535"/>
      <c r="P2" s="535"/>
      <c r="Q2" s="693">
        <v>41368</v>
      </c>
      <c r="R2" s="694"/>
      <c r="AC2" s="536" t="s">
        <v>338</v>
      </c>
      <c r="AD2" s="537"/>
      <c r="AE2" s="536" t="s">
        <v>339</v>
      </c>
      <c r="AF2" s="537"/>
    </row>
    <row r="3" spans="20:35" ht="12">
      <c r="T3" s="538" t="s">
        <v>314</v>
      </c>
      <c r="U3" s="538" t="s">
        <v>314</v>
      </c>
      <c r="W3" s="538" t="s">
        <v>315</v>
      </c>
      <c r="X3" s="538" t="s">
        <v>315</v>
      </c>
      <c r="Y3" s="539" t="s">
        <v>336</v>
      </c>
      <c r="Z3" s="537"/>
      <c r="AA3" s="539" t="s">
        <v>337</v>
      </c>
      <c r="AB3" s="537"/>
      <c r="AC3" s="540" t="s">
        <v>316</v>
      </c>
      <c r="AD3" s="541" t="s">
        <v>317</v>
      </c>
      <c r="AE3" s="540" t="s">
        <v>316</v>
      </c>
      <c r="AF3" s="541" t="s">
        <v>317</v>
      </c>
      <c r="AH3" s="559" t="s">
        <v>335</v>
      </c>
      <c r="AI3" s="559"/>
    </row>
    <row r="4" spans="19:35" ht="12">
      <c r="S4" s="542" t="s">
        <v>318</v>
      </c>
      <c r="T4" s="231" t="s">
        <v>319</v>
      </c>
      <c r="U4" s="231" t="s">
        <v>126</v>
      </c>
      <c r="V4" s="543" t="s">
        <v>135</v>
      </c>
      <c r="W4" s="544" t="s">
        <v>320</v>
      </c>
      <c r="X4" s="231" t="s">
        <v>321</v>
      </c>
      <c r="Y4" s="545" t="s">
        <v>322</v>
      </c>
      <c r="Z4" s="546" t="s">
        <v>323</v>
      </c>
      <c r="AA4" s="545" t="s">
        <v>322</v>
      </c>
      <c r="AB4" s="546" t="s">
        <v>323</v>
      </c>
      <c r="AC4" s="562">
        <v>9.98</v>
      </c>
      <c r="AD4" s="563">
        <v>9.07</v>
      </c>
      <c r="AE4" s="562">
        <v>7.13</v>
      </c>
      <c r="AF4" s="563">
        <v>6.48</v>
      </c>
      <c r="AG4" s="554"/>
      <c r="AH4" s="556" t="s">
        <v>334</v>
      </c>
      <c r="AI4" s="556" t="s">
        <v>333</v>
      </c>
    </row>
    <row r="5" spans="19:35" ht="12">
      <c r="S5" s="547">
        <f ca="1">INDIRECT("'0710'!"&amp;ADDRESS($AH5,COLUMN('0710'!A$4)))</f>
        <v>41426</v>
      </c>
      <c r="T5" s="548">
        <f ca="1">INDIRECT("'0710'!"&amp;ADDRESS($AI5,COLUMN('0710'!E$4)))</f>
      </c>
      <c r="U5" s="549">
        <f ca="1">INDIRECT("'0710'!"&amp;ADDRESS($AI5,COLUMN('0710'!U$4)))</f>
        <v>220</v>
      </c>
      <c r="V5" s="550" t="str">
        <f aca="true" t="shared" si="0" ref="V5:V59">MONTH($S5)&amp;"月"</f>
        <v>6月</v>
      </c>
      <c r="W5" s="551" t="e">
        <f ca="1">INDIRECT("'0710'!"&amp;ADDRESS($AI5,COLUMN('0710'!V$4)))/1000</f>
        <v>#VALUE!</v>
      </c>
      <c r="X5" s="551">
        <f>SUM(AC5:AF5)/1000</f>
        <v>0</v>
      </c>
      <c r="Y5" s="552">
        <f ca="1">INDIRECT("'0710'!"&amp;ADDRESS($AH5,COLUMN('0710'!E$4)))</f>
      </c>
      <c r="Z5" s="552">
        <f>IF('0710'!$G41="","",'0710'!$G41)</f>
        <v>1281.4285714285656</v>
      </c>
      <c r="AA5" s="552">
        <f ca="1">INDIRECT("'0710'!"&amp;ADDRESS($AH5,COLUMN('0710'!K$4)))</f>
      </c>
      <c r="AB5" s="552">
        <f>IF('0710'!$M41="","",'0710'!$M41)</f>
        <v>622.2857142857135</v>
      </c>
      <c r="AC5" s="560">
        <f aca="true" t="shared" si="1" ref="AC5:AC36">IF(AND(7&lt;MONTH($S5),MONTH($S5)&lt;11,$Y5&lt;&gt;""),$Y5*AC$4,0)</f>
        <v>0</v>
      </c>
      <c r="AD5" s="561">
        <f aca="true" t="shared" si="2" ref="AD5:AD36">IF(AND((OR(10&lt;MONTH($S5),MONTH($S5)&lt;8)),$Y5&lt;&gt;""),$Y5*AD$4,0)</f>
        <v>0</v>
      </c>
      <c r="AE5" s="560">
        <f>IF(AND(7&lt;MONTH($S5),MONTH($S5)&lt;11,$Y5&lt;&gt;""),$AA5*AE$4,0)</f>
        <v>0</v>
      </c>
      <c r="AF5" s="561">
        <f>IF(AND((OR(10&lt;MONTH($S5),MONTH($S5)&lt;8)),$Y5&lt;&gt;""),$AA5*AF$4,0)</f>
        <v>0</v>
      </c>
      <c r="AG5" s="555"/>
      <c r="AH5" s="557">
        <f>'メモ票'!T9-1</f>
        <v>14</v>
      </c>
      <c r="AI5" s="557">
        <f>'メモ票'!T16-1</f>
        <v>95</v>
      </c>
    </row>
    <row r="6" spans="19:35" ht="12">
      <c r="S6" s="547">
        <f ca="1">INDIRECT("'0710'!"&amp;ADDRESS($AH6,COLUMN('0710'!A$4)))</f>
        <v>41395</v>
      </c>
      <c r="T6" s="548">
        <f ca="1">INDIRECT("'0710'!"&amp;ADDRESS($AI6,COLUMN('0710'!E$4)))</f>
        <v>126</v>
      </c>
      <c r="U6" s="549">
        <f ca="1">INDIRECT("'0710'!"&amp;ADDRESS($AI6,COLUMN('0710'!U$4)))</f>
        <v>220</v>
      </c>
      <c r="V6" s="550" t="str">
        <f t="shared" si="0"/>
        <v>5月</v>
      </c>
      <c r="W6" s="551">
        <f ca="1">INDIRECT("'0710'!"&amp;ADDRESS($AI6,COLUMN('0710'!V$4)))/1000</f>
        <v>392.7</v>
      </c>
      <c r="X6" s="551">
        <f aca="true" t="shared" si="3" ref="X6:X59">SUM(AC6:AF6)/1000</f>
        <v>324.4998599999987</v>
      </c>
      <c r="Y6" s="552">
        <f ca="1">INDIRECT("'0710'!"&amp;ADDRESS($AH6,COLUMN('0710'!E$4)))</f>
        <v>27413.99999999976</v>
      </c>
      <c r="Z6" s="552">
        <f>IF('0710'!$G42="","",'0710'!$G42)</f>
        <v>1339.5483870967748</v>
      </c>
      <c r="AA6" s="552">
        <f ca="1">INDIRECT("'0710'!"&amp;ADDRESS($AH6,COLUMN('0710'!K$4)))</f>
        <v>11706.000000000131</v>
      </c>
      <c r="AB6" s="552">
        <f>IF('0710'!$M42="","",'0710'!$M42)</f>
        <v>939.2903225806447</v>
      </c>
      <c r="AC6" s="560">
        <f t="shared" si="1"/>
        <v>0</v>
      </c>
      <c r="AD6" s="561">
        <f t="shared" si="2"/>
        <v>248644.97999999783</v>
      </c>
      <c r="AE6" s="560">
        <f aca="true" t="shared" si="4" ref="AE6:AE59">IF(AND(7&lt;MONTH($S6),MONTH($S6)&lt;11,$Y6&lt;&gt;""),$AA6*AE$4,0)</f>
        <v>0</v>
      </c>
      <c r="AF6" s="561">
        <f aca="true" t="shared" si="5" ref="AF6:AF59">IF(AND((OR(10&lt;MONTH($S6),MONTH($S6)&lt;8)),$Y6&lt;&gt;""),$AA6*AF$4,0)</f>
        <v>75854.88000000085</v>
      </c>
      <c r="AG6" s="555"/>
      <c r="AH6" s="558">
        <f>AH5+1</f>
        <v>15</v>
      </c>
      <c r="AI6" s="558">
        <f>AI5+1</f>
        <v>96</v>
      </c>
    </row>
    <row r="7" spans="19:35" ht="12">
      <c r="S7" s="547">
        <f ca="1">INDIRECT("'0710'!"&amp;ADDRESS($AH7,COLUMN('0710'!A$4)))</f>
        <v>41365</v>
      </c>
      <c r="T7" s="548">
        <f ca="1">INDIRECT("'0710'!"&amp;ADDRESS($AI7,COLUMN('0710'!E$4)))</f>
        <v>168.60000000000002</v>
      </c>
      <c r="U7" s="549">
        <f ca="1">INDIRECT("'0710'!"&amp;ADDRESS($AI7,COLUMN('0710'!U$4)))</f>
        <v>220</v>
      </c>
      <c r="V7" s="550" t="str">
        <f t="shared" si="0"/>
        <v>4月</v>
      </c>
      <c r="W7" s="551">
        <f ca="1">INDIRECT("'0710'!"&amp;ADDRESS($AI7,COLUMN('0710'!V$4)))/1000</f>
        <v>392.7</v>
      </c>
      <c r="X7" s="551">
        <f t="shared" si="3"/>
        <v>330.4519199999998</v>
      </c>
      <c r="Y7" s="552">
        <f ca="1">INDIRECT("'0710'!"&amp;ADDRESS($AH7,COLUMN('0710'!E$4)))</f>
        <v>25704.000000000087</v>
      </c>
      <c r="Z7" s="552">
        <f>IF('0710'!$G43="","",'0710'!$G43)</f>
        <v>1167.2903225806442</v>
      </c>
      <c r="AA7" s="552">
        <f ca="1">INDIRECT("'0710'!"&amp;ADDRESS($AH7,COLUMN('0710'!K$4)))</f>
        <v>15017.999999999847</v>
      </c>
      <c r="AB7" s="552">
        <f>IF('0710'!$M43="","",'0710'!$M43)</f>
        <v>681.6774193548392</v>
      </c>
      <c r="AC7" s="560">
        <f t="shared" si="1"/>
        <v>0</v>
      </c>
      <c r="AD7" s="561">
        <f t="shared" si="2"/>
        <v>233135.2800000008</v>
      </c>
      <c r="AE7" s="560">
        <f t="shared" si="4"/>
        <v>0</v>
      </c>
      <c r="AF7" s="561">
        <f t="shared" si="5"/>
        <v>97316.63999999901</v>
      </c>
      <c r="AG7" s="555"/>
      <c r="AH7" s="558">
        <f aca="true" t="shared" si="6" ref="AH7:AH59">AH6+1</f>
        <v>16</v>
      </c>
      <c r="AI7" s="558">
        <f aca="true" t="shared" si="7" ref="AI7:AI59">AI6+1</f>
        <v>97</v>
      </c>
    </row>
    <row r="8" spans="19:35" ht="12">
      <c r="S8" s="547">
        <f ca="1">INDIRECT("'0710'!"&amp;ADDRESS($AH8,COLUMN('0710'!A$4)))</f>
        <v>41334</v>
      </c>
      <c r="T8" s="548">
        <f ca="1">INDIRECT("'0710'!"&amp;ADDRESS($AI8,COLUMN('0710'!E$4)))</f>
        <v>182.4</v>
      </c>
      <c r="U8" s="549">
        <f ca="1">INDIRECT("'0710'!"&amp;ADDRESS($AI8,COLUMN('0710'!U$4)))</f>
        <v>220</v>
      </c>
      <c r="V8" s="550" t="str">
        <f t="shared" si="0"/>
        <v>3月</v>
      </c>
      <c r="W8" s="551">
        <f ca="1">INDIRECT("'0710'!"&amp;ADDRESS($AI8,COLUMN('0710'!V$4)))/1000</f>
        <v>392.7</v>
      </c>
      <c r="X8" s="551">
        <f t="shared" si="3"/>
        <v>414.7119600000006</v>
      </c>
      <c r="Y8" s="552">
        <f ca="1">INDIRECT("'0710'!"&amp;ADDRESS($AH8,COLUMN('0710'!E$4)))</f>
        <v>33828.000000000065</v>
      </c>
      <c r="Z8" s="552">
        <f>IF('0710'!$G44="","",'0710'!$G44)</f>
        <v>1084.400000000005</v>
      </c>
      <c r="AA8" s="552">
        <f ca="1">INDIRECT("'0710'!"&amp;ADDRESS($AH8,COLUMN('0710'!K$4)))</f>
        <v>16650</v>
      </c>
      <c r="AB8" s="552">
        <f>IF('0710'!$M44="","",'0710'!$M44)</f>
        <v>566.9999999999982</v>
      </c>
      <c r="AC8" s="560">
        <f t="shared" si="1"/>
        <v>0</v>
      </c>
      <c r="AD8" s="561">
        <f t="shared" si="2"/>
        <v>306819.9600000006</v>
      </c>
      <c r="AE8" s="560">
        <f t="shared" si="4"/>
        <v>0</v>
      </c>
      <c r="AF8" s="561">
        <f t="shared" si="5"/>
        <v>107892</v>
      </c>
      <c r="AG8" s="555"/>
      <c r="AH8" s="558">
        <f t="shared" si="6"/>
        <v>17</v>
      </c>
      <c r="AI8" s="558">
        <f t="shared" si="7"/>
        <v>98</v>
      </c>
    </row>
    <row r="9" spans="19:35" ht="12">
      <c r="S9" s="547">
        <f ca="1">INDIRECT("'0710'!"&amp;ADDRESS($AH9,COLUMN('0710'!A$4)))</f>
        <v>41306</v>
      </c>
      <c r="T9" s="548">
        <f ca="1">INDIRECT("'0710'!"&amp;ADDRESS($AI9,COLUMN('0710'!E$4)))</f>
        <v>187.2</v>
      </c>
      <c r="U9" s="549">
        <f ca="1">INDIRECT("'0710'!"&amp;ADDRESS($AI9,COLUMN('0710'!U$4)))</f>
        <v>220</v>
      </c>
      <c r="V9" s="550" t="str">
        <f t="shared" si="0"/>
        <v>2月</v>
      </c>
      <c r="W9" s="551">
        <f ca="1">INDIRECT("'0710'!"&amp;ADDRESS($AI9,COLUMN('0710'!V$4)))/1000</f>
        <v>392.7</v>
      </c>
      <c r="X9" s="551">
        <f t="shared" si="3"/>
        <v>452.96598000000347</v>
      </c>
      <c r="Y9" s="552">
        <f ca="1">INDIRECT("'0710'!"&amp;ADDRESS($AH9,COLUMN('0710'!E$4)))</f>
        <v>31890.000000000327</v>
      </c>
      <c r="Z9" s="552">
        <f>IF('0710'!$G45="","",'0710'!$G45)</f>
        <v>1301.4193548387054</v>
      </c>
      <c r="AA9" s="552">
        <f ca="1">INDIRECT("'0710'!"&amp;ADDRESS($AH9,COLUMN('0710'!K$4)))</f>
        <v>25266.000000000076</v>
      </c>
      <c r="AB9" s="552">
        <f>IF('0710'!$M45="","",'0710'!$M45)</f>
        <v>746.9032258064544</v>
      </c>
      <c r="AC9" s="560">
        <f t="shared" si="1"/>
        <v>0</v>
      </c>
      <c r="AD9" s="561">
        <f t="shared" si="2"/>
        <v>289242.30000000296</v>
      </c>
      <c r="AE9" s="560">
        <f t="shared" si="4"/>
        <v>0</v>
      </c>
      <c r="AF9" s="561">
        <f t="shared" si="5"/>
        <v>163723.68000000052</v>
      </c>
      <c r="AG9" s="555"/>
      <c r="AH9" s="558">
        <f t="shared" si="6"/>
        <v>18</v>
      </c>
      <c r="AI9" s="558">
        <f t="shared" si="7"/>
        <v>99</v>
      </c>
    </row>
    <row r="10" spans="19:35" ht="12">
      <c r="S10" s="547">
        <f ca="1">INDIRECT("'0710'!"&amp;ADDRESS($AH10,COLUMN('0710'!A$4)))</f>
        <v>41275</v>
      </c>
      <c r="T10" s="548">
        <f ca="1">INDIRECT("'0710'!"&amp;ADDRESS($AI10,COLUMN('0710'!E$4)))</f>
        <v>184.8</v>
      </c>
      <c r="U10" s="549">
        <f ca="1">INDIRECT("'0710'!"&amp;ADDRESS($AI10,COLUMN('0710'!U$4)))</f>
        <v>220</v>
      </c>
      <c r="V10" s="550" t="str">
        <f t="shared" si="0"/>
        <v>1月</v>
      </c>
      <c r="W10" s="551">
        <f ca="1">INDIRECT("'0710'!"&amp;ADDRESS($AI10,COLUMN('0710'!V$4)))/1000</f>
        <v>392.7</v>
      </c>
      <c r="X10" s="551">
        <f t="shared" si="3"/>
        <v>462.1191599999983</v>
      </c>
      <c r="Y10" s="552">
        <f ca="1">INDIRECT("'0710'!"&amp;ADDRESS($AH10,COLUMN('0710'!E$4)))</f>
        <v>35363.99999999976</v>
      </c>
      <c r="Z10" s="552">
        <f>IF('0710'!$G46="","",'0710'!$G46)</f>
        <v>1623.8000000000009</v>
      </c>
      <c r="AA10" s="552">
        <f ca="1">INDIRECT("'0710'!"&amp;ADDRESS($AH10,COLUMN('0710'!K$4)))</f>
        <v>21816.000000000076</v>
      </c>
      <c r="AB10" s="552">
        <f>IF('0710'!$M46="","",'0710'!$M46)</f>
        <v>813.3999999999968</v>
      </c>
      <c r="AC10" s="560">
        <f t="shared" si="1"/>
        <v>0</v>
      </c>
      <c r="AD10" s="561">
        <f t="shared" si="2"/>
        <v>320751.4799999978</v>
      </c>
      <c r="AE10" s="560">
        <f t="shared" si="4"/>
        <v>0</v>
      </c>
      <c r="AF10" s="561">
        <f t="shared" si="5"/>
        <v>141367.68000000052</v>
      </c>
      <c r="AG10" s="555"/>
      <c r="AH10" s="558">
        <f t="shared" si="6"/>
        <v>19</v>
      </c>
      <c r="AI10" s="558">
        <f t="shared" si="7"/>
        <v>100</v>
      </c>
    </row>
    <row r="11" spans="19:35" ht="12">
      <c r="S11" s="547">
        <f ca="1">INDIRECT("'0710'!"&amp;ADDRESS($AH11,COLUMN('0710'!A$4)))</f>
        <v>41244</v>
      </c>
      <c r="T11" s="548">
        <f ca="1">INDIRECT("'0710'!"&amp;ADDRESS($AI11,COLUMN('0710'!E$4)))</f>
        <v>165.60000000000002</v>
      </c>
      <c r="U11" s="549">
        <f ca="1">INDIRECT("'0710'!"&amp;ADDRESS($AI11,COLUMN('0710'!U$4)))</f>
        <v>220</v>
      </c>
      <c r="V11" s="550" t="str">
        <f t="shared" si="0"/>
        <v>12月</v>
      </c>
      <c r="W11" s="551">
        <f ca="1">INDIRECT("'0710'!"&amp;ADDRESS($AI11,COLUMN('0710'!V$4)))/1000</f>
        <v>392.7</v>
      </c>
      <c r="X11" s="551">
        <f t="shared" si="3"/>
        <v>335.6645399999977</v>
      </c>
      <c r="Y11" s="552">
        <f ca="1">INDIRECT("'0710'!"&amp;ADDRESS($AH11,COLUMN('0710'!E$4)))</f>
        <v>28241.999999999825</v>
      </c>
      <c r="Z11" s="552">
        <f>IF('0710'!$G47="","",'0710'!$G47)</f>
        <v>1949.806451612908</v>
      </c>
      <c r="AA11" s="552">
        <f ca="1">INDIRECT("'0710'!"&amp;ADDRESS($AH11,COLUMN('0710'!K$4)))</f>
        <v>12269.99999999989</v>
      </c>
      <c r="AB11" s="552">
        <f>IF('0710'!$M47="","",'0710'!$M47)</f>
        <v>823.1612903225845</v>
      </c>
      <c r="AC11" s="560">
        <f t="shared" si="1"/>
        <v>0</v>
      </c>
      <c r="AD11" s="561">
        <f t="shared" si="2"/>
        <v>256154.93999999843</v>
      </c>
      <c r="AE11" s="560">
        <f t="shared" si="4"/>
        <v>0</v>
      </c>
      <c r="AF11" s="561">
        <f t="shared" si="5"/>
        <v>79509.5999999993</v>
      </c>
      <c r="AG11" s="555"/>
      <c r="AH11" s="558">
        <f t="shared" si="6"/>
        <v>20</v>
      </c>
      <c r="AI11" s="558">
        <f t="shared" si="7"/>
        <v>101</v>
      </c>
    </row>
    <row r="12" spans="19:35" ht="12">
      <c r="S12" s="547">
        <f ca="1">INDIRECT("'0710'!"&amp;ADDRESS($AH12,COLUMN('0710'!A$4)))</f>
        <v>41214</v>
      </c>
      <c r="T12" s="548">
        <f ca="1">INDIRECT("'0710'!"&amp;ADDRESS($AI12,COLUMN('0710'!E$4)))</f>
        <v>133.8</v>
      </c>
      <c r="U12" s="549">
        <f ca="1">INDIRECT("'0710'!"&amp;ADDRESS($AI12,COLUMN('0710'!U$4)))</f>
        <v>220</v>
      </c>
      <c r="V12" s="550" t="str">
        <f t="shared" si="0"/>
        <v>11月</v>
      </c>
      <c r="W12" s="551">
        <f ca="1">INDIRECT("'0710'!"&amp;ADDRESS($AI12,COLUMN('0710'!V$4)))/1000</f>
        <v>392.7</v>
      </c>
      <c r="X12" s="551">
        <f t="shared" si="3"/>
        <v>324.5223000000017</v>
      </c>
      <c r="Y12" s="552">
        <f ca="1">INDIRECT("'0710'!"&amp;ADDRESS($AH12,COLUMN('0710'!E$4)))</f>
        <v>27858.000000000175</v>
      </c>
      <c r="Z12" s="552">
        <f>IF('0710'!$G48="","",'0710'!$G48)</f>
        <v>1791.29032258064</v>
      </c>
      <c r="AA12" s="552">
        <f ca="1">INDIRECT("'0710'!"&amp;ADDRESS($AH12,COLUMN('0710'!K$4)))</f>
        <v>11088.000000000011</v>
      </c>
      <c r="AB12" s="552">
        <f>IF('0710'!$M48="","",'0710'!$M48)</f>
        <v>910.2580645161286</v>
      </c>
      <c r="AC12" s="560">
        <f t="shared" si="1"/>
        <v>0</v>
      </c>
      <c r="AD12" s="561">
        <f t="shared" si="2"/>
        <v>252672.0600000016</v>
      </c>
      <c r="AE12" s="560">
        <f t="shared" si="4"/>
        <v>0</v>
      </c>
      <c r="AF12" s="561">
        <f t="shared" si="5"/>
        <v>71850.24000000008</v>
      </c>
      <c r="AG12" s="555"/>
      <c r="AH12" s="558">
        <f t="shared" si="6"/>
        <v>21</v>
      </c>
      <c r="AI12" s="558">
        <f t="shared" si="7"/>
        <v>102</v>
      </c>
    </row>
    <row r="13" spans="19:35" ht="12">
      <c r="S13" s="547">
        <f ca="1">INDIRECT("'0710'!"&amp;ADDRESS($AH13,COLUMN('0710'!A$4)))</f>
        <v>41183</v>
      </c>
      <c r="T13" s="548">
        <f ca="1">INDIRECT("'0710'!"&amp;ADDRESS($AI13,COLUMN('0710'!E$4)))</f>
        <v>192</v>
      </c>
      <c r="U13" s="549">
        <f ca="1">INDIRECT("'0710'!"&amp;ADDRESS($AI13,COLUMN('0710'!U$4)))</f>
        <v>220</v>
      </c>
      <c r="V13" s="550" t="str">
        <f t="shared" si="0"/>
        <v>10月</v>
      </c>
      <c r="W13" s="551">
        <f ca="1">INDIRECT("'0710'!"&amp;ADDRESS($AI13,COLUMN('0710'!V$4)))/1000</f>
        <v>392.7</v>
      </c>
      <c r="X13" s="551">
        <f t="shared" si="3"/>
        <v>438.78588000000104</v>
      </c>
      <c r="Y13" s="552">
        <f ca="1">INDIRECT("'0710'!"&amp;ADDRESS($AH13,COLUMN('0710'!E$4)))</f>
        <v>29958.000000000175</v>
      </c>
      <c r="Z13" s="552">
        <f>IF('0710'!$G49="","",'0710'!$G49)</f>
        <v>1671.1999999999991</v>
      </c>
      <c r="AA13" s="552">
        <f ca="1">INDIRECT("'0710'!"&amp;ADDRESS($AH13,COLUMN('0710'!K$4)))</f>
        <v>19607.9999999999</v>
      </c>
      <c r="AB13" s="552">
        <f>IF('0710'!$M49="","",'0710'!$M49)</f>
        <v>652.9999999999974</v>
      </c>
      <c r="AC13" s="560">
        <f t="shared" si="1"/>
        <v>298980.8400000018</v>
      </c>
      <c r="AD13" s="561">
        <f t="shared" si="2"/>
        <v>0</v>
      </c>
      <c r="AE13" s="560">
        <f t="shared" si="4"/>
        <v>139805.0399999993</v>
      </c>
      <c r="AF13" s="561">
        <f t="shared" si="5"/>
        <v>0</v>
      </c>
      <c r="AG13" s="555"/>
      <c r="AH13" s="558">
        <f t="shared" si="6"/>
        <v>22</v>
      </c>
      <c r="AI13" s="558">
        <f t="shared" si="7"/>
        <v>103</v>
      </c>
    </row>
    <row r="14" spans="19:35" ht="12">
      <c r="S14" s="547">
        <f ca="1">INDIRECT("'0710'!"&amp;ADDRESS($AH14,COLUMN('0710'!A$4)))</f>
        <v>41153</v>
      </c>
      <c r="T14" s="548">
        <f ca="1">INDIRECT("'0710'!"&amp;ADDRESS($AI14,COLUMN('0710'!E$4)))</f>
        <v>216</v>
      </c>
      <c r="U14" s="549">
        <f ca="1">INDIRECT("'0710'!"&amp;ADDRESS($AI14,COLUMN('0710'!U$4)))</f>
        <v>220</v>
      </c>
      <c r="V14" s="550" t="str">
        <f t="shared" si="0"/>
        <v>9月</v>
      </c>
      <c r="W14" s="551">
        <f ca="1">INDIRECT("'0710'!"&amp;ADDRESS($AI14,COLUMN('0710'!V$4)))/1000</f>
        <v>392.7</v>
      </c>
      <c r="X14" s="551">
        <f t="shared" si="3"/>
        <v>568.165079999996</v>
      </c>
      <c r="Y14" s="552">
        <f ca="1">INDIRECT("'0710'!"&amp;ADDRESS($AH14,COLUMN('0710'!E$4)))</f>
        <v>45107.99999999963</v>
      </c>
      <c r="Z14" s="552">
        <f>IF('0710'!$G50="","",'0710'!$G50)</f>
        <v>1059.8709677419397</v>
      </c>
      <c r="AA14" s="552">
        <f ca="1">INDIRECT("'0710'!"&amp;ADDRESS($AH14,COLUMN('0710'!K$4)))</f>
        <v>16547.999999999956</v>
      </c>
      <c r="AB14" s="552">
        <f>IF('0710'!$M50="","",'0710'!$M50)</f>
        <v>768.0000000000011</v>
      </c>
      <c r="AC14" s="560">
        <f t="shared" si="1"/>
        <v>450177.8399999963</v>
      </c>
      <c r="AD14" s="561">
        <f t="shared" si="2"/>
        <v>0</v>
      </c>
      <c r="AE14" s="560">
        <f t="shared" si="4"/>
        <v>117987.23999999969</v>
      </c>
      <c r="AF14" s="561">
        <f t="shared" si="5"/>
        <v>0</v>
      </c>
      <c r="AG14" s="555"/>
      <c r="AH14" s="558">
        <f t="shared" si="6"/>
        <v>23</v>
      </c>
      <c r="AI14" s="558">
        <f t="shared" si="7"/>
        <v>104</v>
      </c>
    </row>
    <row r="15" spans="19:35" ht="12">
      <c r="S15" s="547">
        <f ca="1">INDIRECT("'0710'!"&amp;ADDRESS($AH15,COLUMN('0710'!A$4)))</f>
        <v>41122</v>
      </c>
      <c r="T15" s="548">
        <f ca="1">INDIRECT("'0710'!"&amp;ADDRESS($AI15,COLUMN('0710'!E$4)))</f>
        <v>219.6</v>
      </c>
      <c r="U15" s="549">
        <f ca="1">INDIRECT("'0710'!"&amp;ADDRESS($AI15,COLUMN('0710'!U$4)))</f>
        <v>224</v>
      </c>
      <c r="V15" s="550" t="str">
        <f t="shared" si="0"/>
        <v>8月</v>
      </c>
      <c r="W15" s="551">
        <f ca="1">INDIRECT("'0710'!"&amp;ADDRESS($AI15,COLUMN('0710'!V$4)))/1000</f>
        <v>399.84</v>
      </c>
      <c r="X15" s="551">
        <f t="shared" si="3"/>
        <v>508.9126200000019</v>
      </c>
      <c r="Y15" s="552">
        <f ca="1">INDIRECT("'0710'!"&amp;ADDRESS($AH15,COLUMN('0710'!E$4)))</f>
        <v>37632.00000000015</v>
      </c>
      <c r="Z15" s="552">
        <f>IF('0710'!$G51="","",'0710'!$G51)</f>
        <v>1131.999999999998</v>
      </c>
      <c r="AA15" s="552">
        <f ca="1">INDIRECT("'0710'!"&amp;ADDRESS($AH15,COLUMN('0710'!K$4)))</f>
        <v>18702.000000000044</v>
      </c>
      <c r="AB15" s="552">
        <f>IF('0710'!$M51="","",'0710'!$M51)</f>
        <v>503.20000000000164</v>
      </c>
      <c r="AC15" s="560">
        <f t="shared" si="1"/>
        <v>375567.36000000156</v>
      </c>
      <c r="AD15" s="561">
        <f t="shared" si="2"/>
        <v>0</v>
      </c>
      <c r="AE15" s="560">
        <f t="shared" si="4"/>
        <v>133345.2600000003</v>
      </c>
      <c r="AF15" s="561">
        <f t="shared" si="5"/>
        <v>0</v>
      </c>
      <c r="AG15" s="555"/>
      <c r="AH15" s="558">
        <f t="shared" si="6"/>
        <v>24</v>
      </c>
      <c r="AI15" s="558">
        <f t="shared" si="7"/>
        <v>105</v>
      </c>
    </row>
    <row r="16" spans="19:35" ht="12">
      <c r="S16" s="547">
        <f ca="1">INDIRECT("'0710'!"&amp;ADDRESS($AH16,COLUMN('0710'!A$4)))</f>
        <v>41091</v>
      </c>
      <c r="T16" s="548">
        <f ca="1">INDIRECT("'0710'!"&amp;ADDRESS($AI16,COLUMN('0710'!E$4)))</f>
        <v>152.4</v>
      </c>
      <c r="U16" s="549">
        <f ca="1">INDIRECT("'0710'!"&amp;ADDRESS($AI16,COLUMN('0710'!U$4)))</f>
        <v>232</v>
      </c>
      <c r="V16" s="550" t="str">
        <f t="shared" si="0"/>
        <v>7月</v>
      </c>
      <c r="W16" s="551">
        <f ca="1">INDIRECT("'0710'!"&amp;ADDRESS($AI16,COLUMN('0710'!V$4)))/1000</f>
        <v>414.12</v>
      </c>
      <c r="X16" s="551">
        <f t="shared" si="3"/>
        <v>359.99886000000066</v>
      </c>
      <c r="Y16" s="552">
        <f ca="1">INDIRECT("'0710'!"&amp;ADDRESS($AH16,COLUMN('0710'!E$4)))</f>
        <v>30521.999999999935</v>
      </c>
      <c r="Z16" s="552">
        <f>IF('0710'!$G52="","",'0710'!$G52)</f>
        <v>1294.258064516127</v>
      </c>
      <c r="AA16" s="552">
        <f ca="1">INDIRECT("'0710'!"&amp;ADDRESS($AH16,COLUMN('0710'!K$4)))</f>
        <v>12834.000000000196</v>
      </c>
      <c r="AB16" s="552">
        <f>IF('0710'!$M52="","",'0710'!$M52)</f>
        <v>538.258064516128</v>
      </c>
      <c r="AC16" s="560">
        <f t="shared" si="1"/>
        <v>0</v>
      </c>
      <c r="AD16" s="561">
        <f t="shared" si="2"/>
        <v>276834.5399999994</v>
      </c>
      <c r="AE16" s="560">
        <f t="shared" si="4"/>
        <v>0</v>
      </c>
      <c r="AF16" s="561">
        <f t="shared" si="5"/>
        <v>83164.32000000127</v>
      </c>
      <c r="AG16" s="555"/>
      <c r="AH16" s="558">
        <f t="shared" si="6"/>
        <v>25</v>
      </c>
      <c r="AI16" s="558">
        <f t="shared" si="7"/>
        <v>106</v>
      </c>
    </row>
    <row r="17" spans="19:35" ht="12">
      <c r="S17" s="547">
        <f ca="1">INDIRECT("'0710'!"&amp;ADDRESS($AH17,COLUMN('0710'!A$4)))</f>
        <v>41061</v>
      </c>
      <c r="T17" s="548">
        <f ca="1">INDIRECT("'0710'!"&amp;ADDRESS($AI17,COLUMN('0710'!E$4)))</f>
        <v>127.2</v>
      </c>
      <c r="U17" s="549">
        <f ca="1">INDIRECT("'0710'!"&amp;ADDRESS($AI17,COLUMN('0710'!U$4)))</f>
        <v>232</v>
      </c>
      <c r="V17" s="550" t="str">
        <f t="shared" si="0"/>
        <v>6月</v>
      </c>
      <c r="W17" s="551">
        <f ca="1">INDIRECT("'0710'!"&amp;ADDRESS($AI17,COLUMN('0710'!V$4)))/1000</f>
        <v>414.12</v>
      </c>
      <c r="X17" s="551">
        <f t="shared" si="3"/>
        <v>315.0985199999991</v>
      </c>
      <c r="Y17" s="552">
        <f ca="1">INDIRECT("'0710'!"&amp;ADDRESS($AH17,COLUMN('0710'!E$4)))</f>
        <v>23604.000000000087</v>
      </c>
      <c r="Z17" s="552">
        <f>IF('0710'!$G53="","",'0710'!$G53)</f>
        <v>1392.6428571428623</v>
      </c>
      <c r="AA17" s="552">
        <f ca="1">INDIRECT("'0710'!"&amp;ADDRESS($AH17,COLUMN('0710'!K$4)))</f>
        <v>15587.999999999738</v>
      </c>
      <c r="AB17" s="552">
        <f>IF('0710'!$M53="","",'0710'!$M53)</f>
        <v>677.3571428571407</v>
      </c>
      <c r="AC17" s="560">
        <f t="shared" si="1"/>
        <v>0</v>
      </c>
      <c r="AD17" s="561">
        <f t="shared" si="2"/>
        <v>214088.28000000078</v>
      </c>
      <c r="AE17" s="560">
        <f t="shared" si="4"/>
        <v>0</v>
      </c>
      <c r="AF17" s="561">
        <f t="shared" si="5"/>
        <v>101010.2399999983</v>
      </c>
      <c r="AG17" s="555"/>
      <c r="AH17" s="558">
        <f t="shared" si="6"/>
        <v>26</v>
      </c>
      <c r="AI17" s="558">
        <f t="shared" si="7"/>
        <v>107</v>
      </c>
    </row>
    <row r="18" spans="19:35" ht="12">
      <c r="S18" s="547">
        <f ca="1">INDIRECT("'0710'!"&amp;ADDRESS($AH18,COLUMN('0710'!A$4)))</f>
        <v>41030</v>
      </c>
      <c r="T18" s="548">
        <f ca="1">INDIRECT("'0710'!"&amp;ADDRESS($AI18,COLUMN('0710'!E$4)))</f>
        <v>147</v>
      </c>
      <c r="U18" s="549">
        <f ca="1">INDIRECT("'0710'!"&amp;ADDRESS($AI18,COLUMN('0710'!U$4)))</f>
        <v>232</v>
      </c>
      <c r="V18" s="550" t="str">
        <f t="shared" si="0"/>
        <v>5月</v>
      </c>
      <c r="W18" s="551">
        <f ca="1">INDIRECT("'0710'!"&amp;ADDRESS($AI18,COLUMN('0710'!V$4)))/1000</f>
        <v>414.12</v>
      </c>
      <c r="X18" s="551">
        <f t="shared" si="3"/>
        <v>311.91516000000115</v>
      </c>
      <c r="Y18" s="552">
        <f ca="1">INDIRECT("'0710'!"&amp;ADDRESS($AH18,COLUMN('0710'!E$4)))</f>
        <v>25092.0000000001</v>
      </c>
      <c r="Z18" s="552">
        <f>IF('0710'!$G54="","",'0710'!$G54)</f>
        <v>1230.193548387096</v>
      </c>
      <c r="AA18" s="552">
        <f ca="1">INDIRECT("'0710'!"&amp;ADDRESS($AH18,COLUMN('0710'!K$4)))</f>
        <v>13014.000000000033</v>
      </c>
      <c r="AB18" s="552">
        <f>IF('0710'!$M54="","",'0710'!$M54)</f>
        <v>882.5806451612929</v>
      </c>
      <c r="AC18" s="560">
        <f t="shared" si="1"/>
        <v>0</v>
      </c>
      <c r="AD18" s="561">
        <f t="shared" si="2"/>
        <v>227584.4400000009</v>
      </c>
      <c r="AE18" s="560">
        <f t="shared" si="4"/>
        <v>0</v>
      </c>
      <c r="AF18" s="561">
        <f t="shared" si="5"/>
        <v>84330.72000000022</v>
      </c>
      <c r="AG18" s="555"/>
      <c r="AH18" s="558">
        <f t="shared" si="6"/>
        <v>27</v>
      </c>
      <c r="AI18" s="558">
        <f t="shared" si="7"/>
        <v>108</v>
      </c>
    </row>
    <row r="19" spans="19:35" ht="12">
      <c r="S19" s="547">
        <f ca="1">INDIRECT("'0710'!"&amp;ADDRESS($AH19,COLUMN('0710'!A$4)))</f>
        <v>41000</v>
      </c>
      <c r="T19" s="548">
        <f ca="1">INDIRECT("'0710'!"&amp;ADDRESS($AI19,COLUMN('0710'!E$4)))</f>
        <v>161.4</v>
      </c>
      <c r="U19" s="549">
        <f ca="1">INDIRECT("'0710'!"&amp;ADDRESS($AI19,COLUMN('0710'!U$4)))</f>
        <v>232</v>
      </c>
      <c r="V19" s="550" t="str">
        <f t="shared" si="0"/>
        <v>4月</v>
      </c>
      <c r="W19" s="551">
        <f ca="1">INDIRECT("'0710'!"&amp;ADDRESS($AI19,COLUMN('0710'!V$4)))/1000</f>
        <v>414.12</v>
      </c>
      <c r="X19" s="551">
        <f t="shared" si="3"/>
        <v>402.10067999999933</v>
      </c>
      <c r="Y19" s="552">
        <f ca="1">INDIRECT("'0710'!"&amp;ADDRESS($AH19,COLUMN('0710'!E$4)))</f>
        <v>33131.99999999988</v>
      </c>
      <c r="Z19" s="552">
        <f>IF('0710'!$G55="","",'0710'!$G55)</f>
        <v>1253.8064516128984</v>
      </c>
      <c r="AA19" s="552">
        <f ca="1">INDIRECT("'0710'!"&amp;ADDRESS($AH19,COLUMN('0710'!K$4)))</f>
        <v>15678.000000000065</v>
      </c>
      <c r="AB19" s="552">
        <f>IF('0710'!$M55="","",'0710'!$M55)</f>
        <v>703.1612903225792</v>
      </c>
      <c r="AC19" s="560">
        <f t="shared" si="1"/>
        <v>0</v>
      </c>
      <c r="AD19" s="561">
        <f t="shared" si="2"/>
        <v>300507.23999999894</v>
      </c>
      <c r="AE19" s="560">
        <f t="shared" si="4"/>
        <v>0</v>
      </c>
      <c r="AF19" s="561">
        <f t="shared" si="5"/>
        <v>101593.44000000042</v>
      </c>
      <c r="AG19" s="555"/>
      <c r="AH19" s="558">
        <f t="shared" si="6"/>
        <v>28</v>
      </c>
      <c r="AI19" s="558">
        <f t="shared" si="7"/>
        <v>109</v>
      </c>
    </row>
    <row r="20" spans="19:35" ht="12">
      <c r="S20" s="547">
        <f ca="1">INDIRECT("'0710'!"&amp;ADDRESS($AH20,COLUMN('0710'!A$4)))</f>
        <v>40969</v>
      </c>
      <c r="T20" s="548">
        <f ca="1">INDIRECT("'0710'!"&amp;ADDRESS($AI20,COLUMN('0710'!E$4)))</f>
        <v>204.60000000000002</v>
      </c>
      <c r="U20" s="549">
        <f ca="1">INDIRECT("'0710'!"&amp;ADDRESS($AI20,COLUMN('0710'!U$4)))</f>
        <v>232</v>
      </c>
      <c r="V20" s="550" t="str">
        <f t="shared" si="0"/>
        <v>3月</v>
      </c>
      <c r="W20" s="551">
        <f ca="1">INDIRECT("'0710'!"&amp;ADDRESS($AI20,COLUMN('0710'!V$4)))/1000</f>
        <v>414.12</v>
      </c>
      <c r="X20" s="551">
        <f t="shared" si="3"/>
        <v>485.2948200000004</v>
      </c>
      <c r="Y20" s="552">
        <f ca="1">INDIRECT("'0710'!"&amp;ADDRESS($AH20,COLUMN('0710'!E$4)))</f>
        <v>41550</v>
      </c>
      <c r="Z20" s="552">
        <f>IF('0710'!$G56="","",'0710'!$G56)</f>
        <v>1123.000000000002</v>
      </c>
      <c r="AA20" s="552">
        <f ca="1">INDIRECT("'0710'!"&amp;ADDRESS($AH20,COLUMN('0710'!K$4)))</f>
        <v>16734.00000000006</v>
      </c>
      <c r="AB20" s="552">
        <f>IF('0710'!$M56="","",'0710'!$M56)</f>
        <v>662.4000000000025</v>
      </c>
      <c r="AC20" s="560">
        <f t="shared" si="1"/>
        <v>0</v>
      </c>
      <c r="AD20" s="561">
        <f t="shared" si="2"/>
        <v>376858.5</v>
      </c>
      <c r="AE20" s="560">
        <f t="shared" si="4"/>
        <v>0</v>
      </c>
      <c r="AF20" s="561">
        <f t="shared" si="5"/>
        <v>108436.32000000039</v>
      </c>
      <c r="AG20" s="555"/>
      <c r="AH20" s="558">
        <f t="shared" si="6"/>
        <v>29</v>
      </c>
      <c r="AI20" s="558">
        <f t="shared" si="7"/>
        <v>110</v>
      </c>
    </row>
    <row r="21" spans="19:35" ht="12">
      <c r="S21" s="547">
        <f ca="1">INDIRECT("'0710'!"&amp;ADDRESS($AH21,COLUMN('0710'!A$4)))</f>
        <v>40940</v>
      </c>
      <c r="T21" s="548">
        <f ca="1">INDIRECT("'0710'!"&amp;ADDRESS($AI21,COLUMN('0710'!E$4)))</f>
        <v>196.20000000000002</v>
      </c>
      <c r="U21" s="549">
        <f ca="1">INDIRECT("'0710'!"&amp;ADDRESS($AI21,COLUMN('0710'!U$4)))</f>
        <v>232</v>
      </c>
      <c r="V21" s="550" t="str">
        <f t="shared" si="0"/>
        <v>2月</v>
      </c>
      <c r="W21" s="551">
        <f ca="1">INDIRECT("'0710'!"&amp;ADDRESS($AI21,COLUMN('0710'!V$4)))/1000</f>
        <v>414.12</v>
      </c>
      <c r="X21" s="551">
        <f t="shared" si="3"/>
        <v>489.73044000000004</v>
      </c>
      <c r="Y21" s="552">
        <f ca="1">INDIRECT("'0710'!"&amp;ADDRESS($AH21,COLUMN('0710'!E$4)))</f>
        <v>36011.999999999985</v>
      </c>
      <c r="Z21" s="552">
        <f>IF('0710'!$G57="","",'0710'!$G57)</f>
        <v>1332.1935483870955</v>
      </c>
      <c r="AA21" s="552">
        <f ca="1">INDIRECT("'0710'!"&amp;ADDRESS($AH21,COLUMN('0710'!K$4)))</f>
        <v>25170.00000000003</v>
      </c>
      <c r="AB21" s="552">
        <f>IF('0710'!$M57="","",'0710'!$M57)</f>
        <v>644.7096774193537</v>
      </c>
      <c r="AC21" s="560">
        <f t="shared" si="1"/>
        <v>0</v>
      </c>
      <c r="AD21" s="561">
        <f t="shared" si="2"/>
        <v>326628.83999999985</v>
      </c>
      <c r="AE21" s="560">
        <f t="shared" si="4"/>
        <v>0</v>
      </c>
      <c r="AF21" s="561">
        <f t="shared" si="5"/>
        <v>163101.6000000002</v>
      </c>
      <c r="AG21" s="555"/>
      <c r="AH21" s="558">
        <f t="shared" si="6"/>
        <v>30</v>
      </c>
      <c r="AI21" s="558">
        <f t="shared" si="7"/>
        <v>111</v>
      </c>
    </row>
    <row r="22" spans="19:35" ht="12">
      <c r="S22" s="547">
        <f ca="1">INDIRECT("'0710'!"&amp;ADDRESS($AH22,COLUMN('0710'!A$4)))</f>
        <v>40909</v>
      </c>
      <c r="T22" s="548">
        <f ca="1">INDIRECT("'0710'!"&amp;ADDRESS($AI22,COLUMN('0710'!E$4)))</f>
        <v>208.79999999999998</v>
      </c>
      <c r="U22" s="549">
        <f ca="1">INDIRECT("'0710'!"&amp;ADDRESS($AI22,COLUMN('0710'!U$4)))</f>
        <v>239</v>
      </c>
      <c r="V22" s="550" t="str">
        <f t="shared" si="0"/>
        <v>1月</v>
      </c>
      <c r="W22" s="551">
        <f ca="1">INDIRECT("'0710'!"&amp;ADDRESS($AI22,COLUMN('0710'!V$4)))/1000</f>
        <v>426.615</v>
      </c>
      <c r="X22" s="551">
        <f t="shared" si="3"/>
        <v>465.4207800000008</v>
      </c>
      <c r="Y22" s="552">
        <f ca="1">INDIRECT("'0710'!"&amp;ADDRESS($AH22,COLUMN('0710'!E$4)))</f>
        <v>36954.00000000009</v>
      </c>
      <c r="Z22" s="552">
        <f>IF('0710'!$G58="","",'0710'!$G58)</f>
        <v>1446.800000000003</v>
      </c>
      <c r="AA22" s="552">
        <f ca="1">INDIRECT("'0710'!"&amp;ADDRESS($AH22,COLUMN('0710'!K$4)))</f>
        <v>20100</v>
      </c>
      <c r="AB22" s="552">
        <f>IF('0710'!$M58="","",'0710'!$M58)</f>
        <v>850.1999999999997</v>
      </c>
      <c r="AC22" s="560">
        <f t="shared" si="1"/>
        <v>0</v>
      </c>
      <c r="AD22" s="561">
        <f t="shared" si="2"/>
        <v>335172.7800000008</v>
      </c>
      <c r="AE22" s="560">
        <f t="shared" si="4"/>
        <v>0</v>
      </c>
      <c r="AF22" s="561">
        <f t="shared" si="5"/>
        <v>130248.00000000001</v>
      </c>
      <c r="AG22" s="555"/>
      <c r="AH22" s="558">
        <f t="shared" si="6"/>
        <v>31</v>
      </c>
      <c r="AI22" s="558">
        <f t="shared" si="7"/>
        <v>112</v>
      </c>
    </row>
    <row r="23" spans="19:35" ht="12">
      <c r="S23" s="547">
        <f ca="1">INDIRECT("'0710'!"&amp;ADDRESS($AH23,COLUMN('0710'!A$4)))</f>
        <v>40878</v>
      </c>
      <c r="T23" s="548">
        <f ca="1">INDIRECT("'0710'!"&amp;ADDRESS($AI23,COLUMN('0710'!E$4)))</f>
        <v>152.4</v>
      </c>
      <c r="U23" s="549">
        <f ca="1">INDIRECT("'0710'!"&amp;ADDRESS($AI23,COLUMN('0710'!U$4)))</f>
        <v>239</v>
      </c>
      <c r="V23" s="550" t="str">
        <f t="shared" si="0"/>
        <v>12月</v>
      </c>
      <c r="W23" s="551">
        <f ca="1">INDIRECT("'0710'!"&amp;ADDRESS($AI23,COLUMN('0710'!V$4)))/1000</f>
        <v>426.615</v>
      </c>
      <c r="X23" s="551">
        <f t="shared" si="3"/>
        <v>376.7801999999985</v>
      </c>
      <c r="Y23" s="552">
        <f ca="1">INDIRECT("'0710'!"&amp;ADDRESS($AH23,COLUMN('0710'!E$4)))</f>
        <v>30155.999999999858</v>
      </c>
      <c r="Z23" s="552">
        <f>IF('0710'!$G59="","",'0710'!$G59)</f>
        <v>1786.8387096774181</v>
      </c>
      <c r="AA23" s="552">
        <f ca="1">INDIRECT("'0710'!"&amp;ADDRESS($AH23,COLUMN('0710'!K$4)))</f>
        <v>15935.999999999967</v>
      </c>
      <c r="AB23" s="552">
        <f>IF('0710'!$M59="","",'0710'!$M59)</f>
        <v>850.8387096774178</v>
      </c>
      <c r="AC23" s="560">
        <f t="shared" si="1"/>
        <v>0</v>
      </c>
      <c r="AD23" s="561">
        <f t="shared" si="2"/>
        <v>273514.9199999987</v>
      </c>
      <c r="AE23" s="560">
        <f t="shared" si="4"/>
        <v>0</v>
      </c>
      <c r="AF23" s="561">
        <f t="shared" si="5"/>
        <v>103265.2799999998</v>
      </c>
      <c r="AG23" s="555"/>
      <c r="AH23" s="558">
        <f t="shared" si="6"/>
        <v>32</v>
      </c>
      <c r="AI23" s="558">
        <f t="shared" si="7"/>
        <v>113</v>
      </c>
    </row>
    <row r="24" spans="19:35" ht="12">
      <c r="S24" s="547">
        <f ca="1">INDIRECT("'0710'!"&amp;ADDRESS($AH24,COLUMN('0710'!A$4)))</f>
        <v>40848</v>
      </c>
      <c r="T24" s="548">
        <f ca="1">INDIRECT("'0710'!"&amp;ADDRESS($AI24,COLUMN('0710'!E$4)))</f>
        <v>162.60000000000002</v>
      </c>
      <c r="U24" s="549">
        <f ca="1">INDIRECT("'0710'!"&amp;ADDRESS($AI24,COLUMN('0710'!U$4)))</f>
        <v>239</v>
      </c>
      <c r="V24" s="550" t="str">
        <f t="shared" si="0"/>
        <v>11月</v>
      </c>
      <c r="W24" s="551">
        <f ca="1">INDIRECT("'0710'!"&amp;ADDRESS($AI24,COLUMN('0710'!V$4)))/1000</f>
        <v>426.615</v>
      </c>
      <c r="X24" s="551">
        <f t="shared" si="3"/>
        <v>407.3764200000004</v>
      </c>
      <c r="Y24" s="552">
        <f ca="1">INDIRECT("'0710'!"&amp;ADDRESS($AH24,COLUMN('0710'!E$4)))</f>
        <v>31326.000000000022</v>
      </c>
      <c r="Z24" s="552">
        <f>IF('0710'!$G60="","",'0710'!$G60)</f>
        <v>1838.129032258065</v>
      </c>
      <c r="AA24" s="552">
        <f ca="1">INDIRECT("'0710'!"&amp;ADDRESS($AH24,COLUMN('0710'!K$4)))</f>
        <v>19020.00000000003</v>
      </c>
      <c r="AB24" s="552">
        <f>IF('0710'!$M60="","",'0710'!$M60)</f>
        <v>764.7096774193546</v>
      </c>
      <c r="AC24" s="560">
        <f t="shared" si="1"/>
        <v>0</v>
      </c>
      <c r="AD24" s="561">
        <f t="shared" si="2"/>
        <v>284126.8200000002</v>
      </c>
      <c r="AE24" s="560">
        <f t="shared" si="4"/>
        <v>0</v>
      </c>
      <c r="AF24" s="561">
        <f t="shared" si="5"/>
        <v>123249.6000000002</v>
      </c>
      <c r="AG24" s="555"/>
      <c r="AH24" s="558">
        <f t="shared" si="6"/>
        <v>33</v>
      </c>
      <c r="AI24" s="558">
        <f t="shared" si="7"/>
        <v>114</v>
      </c>
    </row>
    <row r="25" spans="19:35" ht="12">
      <c r="S25" s="547">
        <f ca="1">INDIRECT("'0710'!"&amp;ADDRESS($AH25,COLUMN('0710'!A$4)))</f>
        <v>40817</v>
      </c>
      <c r="T25" s="548">
        <f ca="1">INDIRECT("'0710'!"&amp;ADDRESS($AI25,COLUMN('0710'!E$4)))</f>
        <v>202.20000000000002</v>
      </c>
      <c r="U25" s="549">
        <f ca="1">INDIRECT("'0710'!"&amp;ADDRESS($AI25,COLUMN('0710'!U$4)))</f>
        <v>239</v>
      </c>
      <c r="V25" s="550" t="str">
        <f t="shared" si="0"/>
        <v>10月</v>
      </c>
      <c r="W25" s="551">
        <f ca="1">INDIRECT("'0710'!"&amp;ADDRESS($AI25,COLUMN('0710'!V$4)))/1000</f>
        <v>426.615</v>
      </c>
      <c r="X25" s="551">
        <f t="shared" si="3"/>
        <v>558.1791000000007</v>
      </c>
      <c r="Y25" s="552">
        <f ca="1">INDIRECT("'0710'!"&amp;ADDRESS($AH25,COLUMN('0710'!E$4)))</f>
        <v>41394.000000000146</v>
      </c>
      <c r="Z25" s="552">
        <f>IF('0710'!$G61="","",'0710'!$G61)</f>
        <v>1824.4000000000005</v>
      </c>
      <c r="AA25" s="552">
        <f ca="1">INDIRECT("'0710'!"&amp;ADDRESS($AH25,COLUMN('0710'!K$4)))</f>
        <v>20345.999999999913</v>
      </c>
      <c r="AB25" s="552">
        <f>IF('0710'!$M61="","",'0710'!$M61)</f>
        <v>687.0000000000005</v>
      </c>
      <c r="AC25" s="560">
        <f t="shared" si="1"/>
        <v>413112.12000000145</v>
      </c>
      <c r="AD25" s="561">
        <f t="shared" si="2"/>
        <v>0</v>
      </c>
      <c r="AE25" s="560">
        <f t="shared" si="4"/>
        <v>145066.97999999937</v>
      </c>
      <c r="AF25" s="561">
        <f t="shared" si="5"/>
        <v>0</v>
      </c>
      <c r="AG25" s="555"/>
      <c r="AH25" s="558">
        <f t="shared" si="6"/>
        <v>34</v>
      </c>
      <c r="AI25" s="558">
        <f t="shared" si="7"/>
        <v>115</v>
      </c>
    </row>
    <row r="26" spans="19:35" ht="12">
      <c r="S26" s="547">
        <f ca="1">INDIRECT("'0710'!"&amp;ADDRESS($AH26,COLUMN('0710'!A$4)))</f>
        <v>40787</v>
      </c>
      <c r="T26" s="548">
        <f ca="1">INDIRECT("'0710'!"&amp;ADDRESS($AI26,COLUMN('0710'!E$4)))</f>
        <v>224.4</v>
      </c>
      <c r="U26" s="549">
        <f ca="1">INDIRECT("'0710'!"&amp;ADDRESS($AI26,COLUMN('0710'!U$4)))</f>
        <v>239</v>
      </c>
      <c r="V26" s="550" t="str">
        <f t="shared" si="0"/>
        <v>9月</v>
      </c>
      <c r="W26" s="551">
        <f ca="1">INDIRECT("'0710'!"&amp;ADDRESS($AI26,COLUMN('0710'!V$4)))/1000</f>
        <v>426.615</v>
      </c>
      <c r="X26" s="551">
        <f t="shared" si="3"/>
        <v>651.6570600000002</v>
      </c>
      <c r="Y26" s="552">
        <f ca="1">INDIRECT("'0710'!"&amp;ADDRESS($AH26,COLUMN('0710'!E$4)))</f>
        <v>52397.999999999956</v>
      </c>
      <c r="Z26" s="552">
        <f>IF('0710'!$G62="","",'0710'!$G62)</f>
        <v>1184.1290322580658</v>
      </c>
      <c r="AA26" s="552">
        <f ca="1">INDIRECT("'0710'!"&amp;ADDRESS($AH26,COLUMN('0710'!K$4)))</f>
        <v>18054.000000000087</v>
      </c>
      <c r="AB26" s="552">
        <f>IF('0710'!$M62="","",'0710'!$M62)</f>
        <v>992.3225806451609</v>
      </c>
      <c r="AC26" s="560">
        <f t="shared" si="1"/>
        <v>522932.0399999996</v>
      </c>
      <c r="AD26" s="561">
        <f t="shared" si="2"/>
        <v>0</v>
      </c>
      <c r="AE26" s="560">
        <f t="shared" si="4"/>
        <v>128725.02000000062</v>
      </c>
      <c r="AF26" s="561">
        <f t="shared" si="5"/>
        <v>0</v>
      </c>
      <c r="AG26" s="555"/>
      <c r="AH26" s="558">
        <f t="shared" si="6"/>
        <v>35</v>
      </c>
      <c r="AI26" s="558">
        <f t="shared" si="7"/>
        <v>116</v>
      </c>
    </row>
    <row r="27" spans="19:35" ht="12">
      <c r="S27" s="547">
        <f ca="1">INDIRECT("'0710'!"&amp;ADDRESS($AH27,COLUMN('0710'!A$4)))</f>
        <v>40756</v>
      </c>
      <c r="T27" s="548">
        <f ca="1">INDIRECT("'0710'!"&amp;ADDRESS($AI27,COLUMN('0710'!E$4)))</f>
        <v>231.6</v>
      </c>
      <c r="U27" s="549">
        <f ca="1">INDIRECT("'0710'!"&amp;ADDRESS($AI27,COLUMN('0710'!U$4)))</f>
        <v>255</v>
      </c>
      <c r="V27" s="550" t="str">
        <f t="shared" si="0"/>
        <v>8月</v>
      </c>
      <c r="W27" s="551">
        <f ca="1">INDIRECT("'0710'!"&amp;ADDRESS($AI27,COLUMN('0710'!V$4)))/1000</f>
        <v>455.175</v>
      </c>
      <c r="X27" s="551">
        <f t="shared" si="3"/>
        <v>648.854759999999</v>
      </c>
      <c r="Y27" s="552">
        <f ca="1">INDIRECT("'0710'!"&amp;ADDRESS($AH27,COLUMN('0710'!E$4)))</f>
        <v>46085.99999999997</v>
      </c>
      <c r="Z27" s="552">
        <f>IF('0710'!$G63="","",'0710'!$G63)</f>
        <v>1327.7999999999977</v>
      </c>
      <c r="AA27" s="552">
        <f ca="1">INDIRECT("'0710'!"&amp;ADDRESS($AH27,COLUMN('0710'!K$4)))</f>
        <v>26495.999999999913</v>
      </c>
      <c r="AB27" s="552">
        <f>IF('0710'!$M63="","",'0710'!$M63)</f>
        <v>579.000000000001</v>
      </c>
      <c r="AC27" s="560">
        <f t="shared" si="1"/>
        <v>459938.27999999974</v>
      </c>
      <c r="AD27" s="561">
        <f t="shared" si="2"/>
        <v>0</v>
      </c>
      <c r="AE27" s="560">
        <f t="shared" si="4"/>
        <v>188916.47999999937</v>
      </c>
      <c r="AF27" s="561">
        <f t="shared" si="5"/>
        <v>0</v>
      </c>
      <c r="AG27" s="555"/>
      <c r="AH27" s="558">
        <f t="shared" si="6"/>
        <v>36</v>
      </c>
      <c r="AI27" s="558">
        <f t="shared" si="7"/>
        <v>117</v>
      </c>
    </row>
    <row r="28" spans="19:35" ht="12">
      <c r="S28" s="547">
        <f ca="1">INDIRECT("'0710'!"&amp;ADDRESS($AH28,COLUMN('0710'!A$4)))</f>
        <v>40725</v>
      </c>
      <c r="T28" s="548">
        <f ca="1">INDIRECT("'0710'!"&amp;ADDRESS($AI28,COLUMN('0710'!E$4)))</f>
        <v>221.4</v>
      </c>
      <c r="U28" s="549">
        <f ca="1">INDIRECT("'0710'!"&amp;ADDRESS($AI28,COLUMN('0710'!U$4)))</f>
        <v>255</v>
      </c>
      <c r="V28" s="550" t="str">
        <f t="shared" si="0"/>
        <v>7月</v>
      </c>
      <c r="W28" s="551">
        <f ca="1">INDIRECT("'0710'!"&amp;ADDRESS($AI28,COLUMN('0710'!V$4)))/1000</f>
        <v>455.175</v>
      </c>
      <c r="X28" s="551">
        <f t="shared" si="3"/>
        <v>546.0598800000012</v>
      </c>
      <c r="Y28" s="552">
        <f ca="1">INDIRECT("'0710'!"&amp;ADDRESS($AH28,COLUMN('0710'!E$4)))</f>
        <v>47628.000000000065</v>
      </c>
      <c r="Z28" s="552">
        <f>IF('0710'!$G64="","",'0710'!$G64)</f>
        <v>1369.7419354838705</v>
      </c>
      <c r="AA28" s="552">
        <f ca="1">INDIRECT("'0710'!"&amp;ADDRESS($AH28,COLUMN('0710'!K$4)))</f>
        <v>17604.000000000087</v>
      </c>
      <c r="AB28" s="552">
        <f>IF('0710'!$M64="","",'0710'!$M64)</f>
        <v>630.7741935483876</v>
      </c>
      <c r="AC28" s="560">
        <f t="shared" si="1"/>
        <v>0</v>
      </c>
      <c r="AD28" s="561">
        <f t="shared" si="2"/>
        <v>431985.9600000006</v>
      </c>
      <c r="AE28" s="560">
        <f t="shared" si="4"/>
        <v>0</v>
      </c>
      <c r="AF28" s="561">
        <f t="shared" si="5"/>
        <v>114073.92000000058</v>
      </c>
      <c r="AG28" s="555"/>
      <c r="AH28" s="558">
        <f t="shared" si="6"/>
        <v>37</v>
      </c>
      <c r="AI28" s="558">
        <f t="shared" si="7"/>
        <v>118</v>
      </c>
    </row>
    <row r="29" spans="19:35" ht="12">
      <c r="S29" s="547">
        <f ca="1">INDIRECT("'0710'!"&amp;ADDRESS($AH29,COLUMN('0710'!A$4)))</f>
        <v>40695</v>
      </c>
      <c r="T29" s="548">
        <f ca="1">INDIRECT("'0710'!"&amp;ADDRESS($AI29,COLUMN('0710'!E$4)))</f>
        <v>196.20000000000002</v>
      </c>
      <c r="U29" s="549">
        <f ca="1">INDIRECT("'0710'!"&amp;ADDRESS($AI29,COLUMN('0710'!U$4)))</f>
        <v>255</v>
      </c>
      <c r="V29" s="550" t="str">
        <f t="shared" si="0"/>
        <v>6月</v>
      </c>
      <c r="W29" s="551">
        <f ca="1">INDIRECT("'0710'!"&amp;ADDRESS($AI29,COLUMN('0710'!V$4)))/1000</f>
        <v>455.175</v>
      </c>
      <c r="X29" s="551">
        <f t="shared" si="3"/>
        <v>436.16111999999964</v>
      </c>
      <c r="Y29" s="552">
        <f ca="1">INDIRECT("'0710'!"&amp;ADDRESS($AH29,COLUMN('0710'!E$4)))</f>
        <v>32352.000000000044</v>
      </c>
      <c r="Z29" s="552">
        <f>IF('0710'!$G65="","",'0710'!$G65)</f>
        <v>1401.8571428571445</v>
      </c>
      <c r="AA29" s="552">
        <f ca="1">INDIRECT("'0710'!"&amp;ADDRESS($AH29,COLUMN('0710'!K$4)))</f>
        <v>22025.999999999884</v>
      </c>
      <c r="AB29" s="552">
        <f>IF('0710'!$M65="","",'0710'!$M65)</f>
        <v>678.8571428571419</v>
      </c>
      <c r="AC29" s="560">
        <f t="shared" si="1"/>
        <v>0</v>
      </c>
      <c r="AD29" s="561">
        <f t="shared" si="2"/>
        <v>293432.6400000004</v>
      </c>
      <c r="AE29" s="560">
        <f t="shared" si="4"/>
        <v>0</v>
      </c>
      <c r="AF29" s="561">
        <f t="shared" si="5"/>
        <v>142728.47999999925</v>
      </c>
      <c r="AG29" s="555"/>
      <c r="AH29" s="558">
        <f t="shared" si="6"/>
        <v>38</v>
      </c>
      <c r="AI29" s="558">
        <f t="shared" si="7"/>
        <v>119</v>
      </c>
    </row>
    <row r="30" spans="19:35" ht="12">
      <c r="S30" s="547">
        <f ca="1">INDIRECT("'0710'!"&amp;ADDRESS($AH30,COLUMN('0710'!A$4)))</f>
        <v>40664</v>
      </c>
      <c r="T30" s="548">
        <f ca="1">INDIRECT("'0710'!"&amp;ADDRESS($AI30,COLUMN('0710'!E$4)))</f>
        <v>150.6</v>
      </c>
      <c r="U30" s="549">
        <f ca="1">INDIRECT("'0710'!"&amp;ADDRESS($AI30,COLUMN('0710'!U$4)))</f>
        <v>255</v>
      </c>
      <c r="V30" s="550" t="str">
        <f t="shared" si="0"/>
        <v>5月</v>
      </c>
      <c r="W30" s="551">
        <f ca="1">INDIRECT("'0710'!"&amp;ADDRESS($AI30,COLUMN('0710'!V$4)))/1000</f>
        <v>455.175</v>
      </c>
      <c r="X30" s="551">
        <f t="shared" si="3"/>
        <v>371.9977200000009</v>
      </c>
      <c r="Y30" s="552">
        <f ca="1">INDIRECT("'0710'!"&amp;ADDRESS($AH30,COLUMN('0710'!E$4)))</f>
        <v>30276.000000000022</v>
      </c>
      <c r="Z30" s="552">
        <f>IF('0710'!$G66="","",'0710'!$G66)</f>
        <v>1331.6129032258054</v>
      </c>
      <c r="AA30" s="552">
        <f ca="1">INDIRECT("'0710'!"&amp;ADDRESS($AH30,COLUMN('0710'!K$4)))</f>
        <v>15030.00000000011</v>
      </c>
      <c r="AB30" s="552">
        <f>IF('0710'!$M66="","",'0710'!$M66)</f>
        <v>906.1935483870977</v>
      </c>
      <c r="AC30" s="560">
        <f t="shared" si="1"/>
        <v>0</v>
      </c>
      <c r="AD30" s="561">
        <f t="shared" si="2"/>
        <v>274603.3200000002</v>
      </c>
      <c r="AE30" s="560">
        <f t="shared" si="4"/>
        <v>0</v>
      </c>
      <c r="AF30" s="561">
        <f t="shared" si="5"/>
        <v>97394.4000000007</v>
      </c>
      <c r="AG30" s="555"/>
      <c r="AH30" s="558">
        <f t="shared" si="6"/>
        <v>39</v>
      </c>
      <c r="AI30" s="558">
        <f t="shared" si="7"/>
        <v>120</v>
      </c>
    </row>
    <row r="31" spans="19:35" ht="12">
      <c r="S31" s="547">
        <f ca="1">INDIRECT("'0710'!"&amp;ADDRESS($AH31,COLUMN('0710'!A$4)))</f>
        <v>40634</v>
      </c>
      <c r="T31" s="548">
        <f ca="1">INDIRECT("'0710'!"&amp;ADDRESS($AI31,COLUMN('0710'!E$4)))</f>
        <v>218.4</v>
      </c>
      <c r="U31" s="549">
        <f ca="1">INDIRECT("'0710'!"&amp;ADDRESS($AI31,COLUMN('0710'!U$4)))</f>
        <v>255</v>
      </c>
      <c r="V31" s="550" t="str">
        <f t="shared" si="0"/>
        <v>4月</v>
      </c>
      <c r="W31" s="551">
        <f ca="1">INDIRECT("'0710'!"&amp;ADDRESS($AI31,COLUMN('0710'!V$4)))/1000</f>
        <v>455.175</v>
      </c>
      <c r="X31" s="551">
        <f t="shared" si="3"/>
        <v>413.26968</v>
      </c>
      <c r="Y31" s="552">
        <f ca="1">INDIRECT("'0710'!"&amp;ADDRESS($AH31,COLUMN('0710'!E$4)))</f>
        <v>35688.000000000015</v>
      </c>
      <c r="Z31" s="552">
        <f>IF('0710'!$G67="","",'0710'!$G67)</f>
        <v>1360.645161290326</v>
      </c>
      <c r="AA31" s="552">
        <f ca="1">INDIRECT("'0710'!"&amp;ADDRESS($AH31,COLUMN('0710'!K$4)))</f>
        <v>13823.999999999978</v>
      </c>
      <c r="AB31" s="552">
        <f>IF('0710'!$M67="","",'0710'!$M67)</f>
        <v>806.5161290322573</v>
      </c>
      <c r="AC31" s="560">
        <f t="shared" si="1"/>
        <v>0</v>
      </c>
      <c r="AD31" s="561">
        <f t="shared" si="2"/>
        <v>323690.16000000015</v>
      </c>
      <c r="AE31" s="560">
        <f t="shared" si="4"/>
        <v>0</v>
      </c>
      <c r="AF31" s="561">
        <f t="shared" si="5"/>
        <v>89579.51999999986</v>
      </c>
      <c r="AG31" s="555"/>
      <c r="AH31" s="558">
        <f t="shared" si="6"/>
        <v>40</v>
      </c>
      <c r="AI31" s="558">
        <f t="shared" si="7"/>
        <v>121</v>
      </c>
    </row>
    <row r="32" spans="19:35" ht="12">
      <c r="S32" s="547">
        <f ca="1">INDIRECT("'0710'!"&amp;ADDRESS($AH32,COLUMN('0710'!A$4)))</f>
        <v>40603</v>
      </c>
      <c r="T32" s="548">
        <f ca="1">INDIRECT("'0710'!"&amp;ADDRESS($AI32,COLUMN('0710'!E$4)))</f>
        <v>217.79999999999998</v>
      </c>
      <c r="U32" s="549">
        <f ca="1">INDIRECT("'0710'!"&amp;ADDRESS($AI32,COLUMN('0710'!U$4)))</f>
        <v>255</v>
      </c>
      <c r="V32" s="550" t="str">
        <f t="shared" si="0"/>
        <v>3月</v>
      </c>
      <c r="W32" s="551">
        <f ca="1">INDIRECT("'0710'!"&amp;ADDRESS($AI32,COLUMN('0710'!V$4)))/1000</f>
        <v>455.175</v>
      </c>
      <c r="X32" s="551">
        <f t="shared" si="3"/>
        <v>438.3391199999985</v>
      </c>
      <c r="Y32" s="552">
        <f ca="1">INDIRECT("'0710'!"&amp;ADDRESS($AH32,COLUMN('0710'!E$4)))</f>
        <v>35879.99999999984</v>
      </c>
      <c r="Z32" s="552">
        <f>IF('0710'!$G68="","",'0710'!$G68)</f>
        <v>1298.5999999999965</v>
      </c>
      <c r="AA32" s="552">
        <f ca="1">INDIRECT("'0710'!"&amp;ADDRESS($AH32,COLUMN('0710'!K$4)))</f>
        <v>17423.999999999978</v>
      </c>
      <c r="AB32" s="552">
        <f>IF('0710'!$M68="","",'0710'!$M68)</f>
        <v>866.400000000001</v>
      </c>
      <c r="AC32" s="560">
        <f t="shared" si="1"/>
        <v>0</v>
      </c>
      <c r="AD32" s="561">
        <f t="shared" si="2"/>
        <v>325431.5999999986</v>
      </c>
      <c r="AE32" s="560">
        <f t="shared" si="4"/>
        <v>0</v>
      </c>
      <c r="AF32" s="561">
        <f t="shared" si="5"/>
        <v>112907.51999999987</v>
      </c>
      <c r="AG32" s="555"/>
      <c r="AH32" s="558">
        <f t="shared" si="6"/>
        <v>41</v>
      </c>
      <c r="AI32" s="558">
        <f t="shared" si="7"/>
        <v>122</v>
      </c>
    </row>
    <row r="33" spans="19:35" ht="12">
      <c r="S33" s="547">
        <f ca="1">INDIRECT("'0710'!"&amp;ADDRESS($AH33,COLUMN('0710'!A$4)))</f>
        <v>40575</v>
      </c>
      <c r="T33" s="548">
        <f ca="1">INDIRECT("'0710'!"&amp;ADDRESS($AI33,COLUMN('0710'!E$4)))</f>
        <v>239.4</v>
      </c>
      <c r="U33" s="549">
        <f ca="1">INDIRECT("'0710'!"&amp;ADDRESS($AI33,COLUMN('0710'!U$4)))</f>
        <v>255</v>
      </c>
      <c r="V33" s="550" t="str">
        <f t="shared" si="0"/>
        <v>2月</v>
      </c>
      <c r="W33" s="551">
        <f ca="1">INDIRECT("'0710'!"&amp;ADDRESS($AI33,COLUMN('0710'!V$4)))/1000</f>
        <v>455.175</v>
      </c>
      <c r="X33" s="551">
        <f t="shared" si="3"/>
        <v>565.3254600000001</v>
      </c>
      <c r="Y33" s="552">
        <f ca="1">INDIRECT("'0710'!"&amp;ADDRESS($AH33,COLUMN('0710'!E$4)))</f>
        <v>41526.00000000002</v>
      </c>
      <c r="Z33" s="552">
        <f>IF('0710'!$G69="","",'0710'!$G69)</f>
        <v>1694.5161290322571</v>
      </c>
      <c r="AA33" s="552">
        <f ca="1">INDIRECT("'0710'!"&amp;ADDRESS($AH33,COLUMN('0710'!K$4)))</f>
        <v>29117.999999999985</v>
      </c>
      <c r="AB33" s="552">
        <f>IF('0710'!$M69="","",'0710'!$M69)</f>
        <v>715.1612903225794</v>
      </c>
      <c r="AC33" s="560">
        <f t="shared" si="1"/>
        <v>0</v>
      </c>
      <c r="AD33" s="561">
        <f t="shared" si="2"/>
        <v>376640.8200000002</v>
      </c>
      <c r="AE33" s="560">
        <f t="shared" si="4"/>
        <v>0</v>
      </c>
      <c r="AF33" s="561">
        <f t="shared" si="5"/>
        <v>188684.63999999993</v>
      </c>
      <c r="AG33" s="555"/>
      <c r="AH33" s="558">
        <f t="shared" si="6"/>
        <v>42</v>
      </c>
      <c r="AI33" s="558">
        <f t="shared" si="7"/>
        <v>123</v>
      </c>
    </row>
    <row r="34" spans="19:35" ht="12">
      <c r="S34" s="547">
        <f ca="1">INDIRECT("'0710'!"&amp;ADDRESS($AH34,COLUMN('0710'!A$4)))</f>
        <v>40544</v>
      </c>
      <c r="T34" s="548">
        <f ca="1">INDIRECT("'0710'!"&amp;ADDRESS($AI34,COLUMN('0710'!E$4)))</f>
        <v>212.39999999999998</v>
      </c>
      <c r="U34" s="549">
        <f ca="1">INDIRECT("'0710'!"&amp;ADDRESS($AI34,COLUMN('0710'!U$4)))</f>
        <v>255</v>
      </c>
      <c r="V34" s="550" t="str">
        <f t="shared" si="0"/>
        <v>1月</v>
      </c>
      <c r="W34" s="551">
        <f ca="1">INDIRECT("'0710'!"&amp;ADDRESS($AI34,COLUMN('0710'!V$4)))/1000</f>
        <v>455.175</v>
      </c>
      <c r="X34" s="551">
        <f t="shared" si="3"/>
        <v>465.14237999999983</v>
      </c>
      <c r="Y34" s="552">
        <f ca="1">INDIRECT("'0710'!"&amp;ADDRESS($AH34,COLUMN('0710'!E$4)))</f>
        <v>36185.99999999997</v>
      </c>
      <c r="Z34" s="552">
        <f>IF('0710'!$G70="","",'0710'!$G70)</f>
        <v>1814.000000000001</v>
      </c>
      <c r="AA34" s="552">
        <f ca="1">INDIRECT("'0710'!"&amp;ADDRESS($AH34,COLUMN('0710'!K$4)))</f>
        <v>21132.000000000015</v>
      </c>
      <c r="AB34" s="552">
        <f>IF('0710'!$M70="","",'0710'!$M70)</f>
        <v>938.8000000000011</v>
      </c>
      <c r="AC34" s="560">
        <f t="shared" si="1"/>
        <v>0</v>
      </c>
      <c r="AD34" s="561">
        <f t="shared" si="2"/>
        <v>328207.0199999997</v>
      </c>
      <c r="AE34" s="560">
        <f t="shared" si="4"/>
        <v>0</v>
      </c>
      <c r="AF34" s="561">
        <f t="shared" si="5"/>
        <v>136935.3600000001</v>
      </c>
      <c r="AG34" s="555"/>
      <c r="AH34" s="558">
        <f t="shared" si="6"/>
        <v>43</v>
      </c>
      <c r="AI34" s="558">
        <f t="shared" si="7"/>
        <v>124</v>
      </c>
    </row>
    <row r="35" spans="19:35" ht="12">
      <c r="S35" s="547">
        <f ca="1">INDIRECT("'0710'!"&amp;ADDRESS($AH35,COLUMN('0710'!A$4)))</f>
        <v>40513</v>
      </c>
      <c r="T35" s="548">
        <f ca="1">INDIRECT("'0710'!"&amp;ADDRESS($AI35,COLUMN('0710'!E$4)))</f>
        <v>172.2</v>
      </c>
      <c r="U35" s="549">
        <f ca="1">INDIRECT("'0710'!"&amp;ADDRESS($AI35,COLUMN('0710'!U$4)))</f>
        <v>255</v>
      </c>
      <c r="V35" s="550" t="str">
        <f t="shared" si="0"/>
        <v>12月</v>
      </c>
      <c r="W35" s="551">
        <f ca="1">INDIRECT("'0710'!"&amp;ADDRESS($AI35,COLUMN('0710'!V$4)))/1000</f>
        <v>455.175</v>
      </c>
      <c r="X35" s="551">
        <f t="shared" si="3"/>
        <v>405.290040000001</v>
      </c>
      <c r="Y35" s="552">
        <f ca="1">INDIRECT("'0710'!"&amp;ADDRESS($AH35,COLUMN('0710'!E$4)))</f>
        <v>32532.000000000153</v>
      </c>
      <c r="Z35" s="552">
        <f>IF('0710'!$G71="","",'0710'!$G71)</f>
        <v>2050.0645161290336</v>
      </c>
      <c r="AA35" s="552">
        <f ca="1">INDIRECT("'0710'!"&amp;ADDRESS($AH35,COLUMN('0710'!K$4)))</f>
        <v>17009.999999999945</v>
      </c>
      <c r="AB35" s="552">
        <f>IF('0710'!$M71="","",'0710'!$M71)</f>
        <v>994.4516129032246</v>
      </c>
      <c r="AC35" s="560">
        <f t="shared" si="1"/>
        <v>0</v>
      </c>
      <c r="AD35" s="561">
        <f t="shared" si="2"/>
        <v>295065.2400000014</v>
      </c>
      <c r="AE35" s="560">
        <f t="shared" si="4"/>
        <v>0</v>
      </c>
      <c r="AF35" s="561">
        <f t="shared" si="5"/>
        <v>110224.79999999965</v>
      </c>
      <c r="AG35" s="555"/>
      <c r="AH35" s="558">
        <f t="shared" si="6"/>
        <v>44</v>
      </c>
      <c r="AI35" s="558">
        <f t="shared" si="7"/>
        <v>125</v>
      </c>
    </row>
    <row r="36" spans="19:35" ht="12">
      <c r="S36" s="547">
        <f ca="1">INDIRECT("'0710'!"&amp;ADDRESS($AH36,COLUMN('0710'!A$4)))</f>
        <v>40483</v>
      </c>
      <c r="T36" s="548">
        <f ca="1">INDIRECT("'0710'!"&amp;ADDRESS($AI36,COLUMN('0710'!E$4)))</f>
        <v>190.8</v>
      </c>
      <c r="U36" s="549">
        <f ca="1">INDIRECT("'0710'!"&amp;ADDRESS($AI36,COLUMN('0710'!U$4)))</f>
        <v>255</v>
      </c>
      <c r="V36" s="550" t="str">
        <f t="shared" si="0"/>
        <v>11月</v>
      </c>
      <c r="W36" s="551">
        <f ca="1">INDIRECT("'0710'!"&amp;ADDRESS($AI36,COLUMN('0710'!V$4)))/1000</f>
        <v>455.175</v>
      </c>
      <c r="X36" s="551">
        <f t="shared" si="3"/>
        <v>515.9579999999994</v>
      </c>
      <c r="Y36" s="552">
        <f ca="1">INDIRECT("'0710'!"&amp;ADDRESS($AH36,COLUMN('0710'!E$4)))</f>
        <v>40343.99999999987</v>
      </c>
      <c r="Z36" s="552">
        <f>IF('0710'!$G72="","",'0710'!$G72)</f>
        <v>2242.0645161290327</v>
      </c>
      <c r="AA36" s="552">
        <f ca="1">INDIRECT("'0710'!"&amp;ADDRESS($AH36,COLUMN('0710'!K$4)))</f>
        <v>23154.000000000087</v>
      </c>
      <c r="AB36" s="552">
        <f>IF('0710'!$M72="","",'0710'!$M72)</f>
        <v>985.1612903225813</v>
      </c>
      <c r="AC36" s="560">
        <f t="shared" si="1"/>
        <v>0</v>
      </c>
      <c r="AD36" s="561">
        <f t="shared" si="2"/>
        <v>365920.07999999885</v>
      </c>
      <c r="AE36" s="560">
        <f t="shared" si="4"/>
        <v>0</v>
      </c>
      <c r="AF36" s="561">
        <f t="shared" si="5"/>
        <v>150037.92000000057</v>
      </c>
      <c r="AG36" s="555"/>
      <c r="AH36" s="558">
        <f t="shared" si="6"/>
        <v>45</v>
      </c>
      <c r="AI36" s="558">
        <f t="shared" si="7"/>
        <v>126</v>
      </c>
    </row>
    <row r="37" spans="19:35" ht="12">
      <c r="S37" s="547">
        <f ca="1">INDIRECT("'0710'!"&amp;ADDRESS($AH37,COLUMN('0710'!A$4)))</f>
        <v>40452</v>
      </c>
      <c r="T37" s="548">
        <f ca="1">INDIRECT("'0710'!"&amp;ADDRESS($AI37,COLUMN('0710'!E$4)))</f>
        <v>231.6</v>
      </c>
      <c r="U37" s="549">
        <f ca="1">INDIRECT("'0710'!"&amp;ADDRESS($AI37,COLUMN('0710'!U$4)))</f>
        <v>255</v>
      </c>
      <c r="V37" s="550" t="str">
        <f t="shared" si="0"/>
        <v>10月</v>
      </c>
      <c r="W37" s="551">
        <f ca="1">INDIRECT("'0710'!"&amp;ADDRESS($AI37,COLUMN('0710'!V$4)))/1000</f>
        <v>455.175</v>
      </c>
      <c r="X37" s="551">
        <f t="shared" si="3"/>
        <v>660.1519799999996</v>
      </c>
      <c r="Y37" s="552">
        <f ca="1">INDIRECT("'0710'!"&amp;ADDRESS($AH37,COLUMN('0710'!E$4)))</f>
        <v>48714.00000000003</v>
      </c>
      <c r="Z37" s="552">
        <f>IF('0710'!$G73="","",'0710'!$G73)</f>
        <v>1868.599999999999</v>
      </c>
      <c r="AA37" s="552">
        <f ca="1">INDIRECT("'0710'!"&amp;ADDRESS($AH37,COLUMN('0710'!K$4)))</f>
        <v>24401.999999999905</v>
      </c>
      <c r="AB37" s="552">
        <f>IF('0710'!$M73="","",'0710'!$M73)</f>
        <v>851.3999999999999</v>
      </c>
      <c r="AC37" s="560">
        <f aca="true" t="shared" si="8" ref="AC37:AC59">IF(AND(7&lt;MONTH($S37),MONTH($S37)&lt;11,$Y37&lt;&gt;""),$Y37*AC$4,0)</f>
        <v>486165.7200000003</v>
      </c>
      <c r="AD37" s="561">
        <f aca="true" t="shared" si="9" ref="AD37:AD59">IF(AND((OR(10&lt;MONTH($S37),MONTH($S37)&lt;8)),$Y37&lt;&gt;""),$Y37*AD$4,0)</f>
        <v>0</v>
      </c>
      <c r="AE37" s="560">
        <f t="shared" si="4"/>
        <v>173986.2599999993</v>
      </c>
      <c r="AF37" s="561">
        <f t="shared" si="5"/>
        <v>0</v>
      </c>
      <c r="AG37" s="555"/>
      <c r="AH37" s="558">
        <f t="shared" si="6"/>
        <v>46</v>
      </c>
      <c r="AI37" s="558">
        <f t="shared" si="7"/>
        <v>127</v>
      </c>
    </row>
    <row r="38" spans="19:35" ht="12">
      <c r="S38" s="547">
        <f ca="1">INDIRECT("'0710'!"&amp;ADDRESS($AH38,COLUMN('0710'!A$4)))</f>
        <v>40422</v>
      </c>
      <c r="T38" s="548">
        <f ca="1">INDIRECT("'0710'!"&amp;ADDRESS($AI38,COLUMN('0710'!E$4)))</f>
        <v>255</v>
      </c>
      <c r="U38" s="549">
        <f ca="1">INDIRECT("'0710'!"&amp;ADDRESS($AI38,COLUMN('0710'!U$4)))</f>
        <v>255</v>
      </c>
      <c r="V38" s="550" t="str">
        <f t="shared" si="0"/>
        <v>9月</v>
      </c>
      <c r="W38" s="551">
        <f ca="1">INDIRECT("'0710'!"&amp;ADDRESS($AI38,COLUMN('0710'!V$4)))/1000</f>
        <v>455.175</v>
      </c>
      <c r="X38" s="551">
        <f t="shared" si="3"/>
        <v>785.1744600000023</v>
      </c>
      <c r="Y38" s="552">
        <f ca="1">INDIRECT("'0710'!"&amp;ADDRESS($AH38,COLUMN('0710'!E$4)))</f>
        <v>60444.000000000146</v>
      </c>
      <c r="Z38" s="552">
        <f>IF('0710'!$G74="","",'0710'!$G74)</f>
        <v>1406.5161290322574</v>
      </c>
      <c r="AA38" s="552">
        <f ca="1">INDIRECT("'0710'!"&amp;ADDRESS($AH38,COLUMN('0710'!K$4)))</f>
        <v>25518.00000000012</v>
      </c>
      <c r="AB38" s="552">
        <f>IF('0710'!$M74="","",'0710'!$M74)</f>
        <v>1018.2580645161293</v>
      </c>
      <c r="AC38" s="560">
        <f t="shared" si="8"/>
        <v>603231.1200000015</v>
      </c>
      <c r="AD38" s="561">
        <f t="shared" si="9"/>
        <v>0</v>
      </c>
      <c r="AE38" s="560">
        <f t="shared" si="4"/>
        <v>181943.34000000084</v>
      </c>
      <c r="AF38" s="561">
        <f t="shared" si="5"/>
        <v>0</v>
      </c>
      <c r="AG38" s="555"/>
      <c r="AH38" s="558">
        <f t="shared" si="6"/>
        <v>47</v>
      </c>
      <c r="AI38" s="558">
        <f t="shared" si="7"/>
        <v>128</v>
      </c>
    </row>
    <row r="39" spans="19:35" ht="12">
      <c r="S39" s="547">
        <f ca="1">INDIRECT("'0710'!"&amp;ADDRESS($AH39,COLUMN('0710'!A$4)))</f>
        <v>40391</v>
      </c>
      <c r="T39" s="548">
        <f ca="1">INDIRECT("'0710'!"&amp;ADDRESS($AI39,COLUMN('0710'!E$4)))</f>
        <v>249</v>
      </c>
      <c r="U39" s="549">
        <f ca="1">INDIRECT("'0710'!"&amp;ADDRESS($AI39,COLUMN('0710'!U$4)))</f>
        <v>253</v>
      </c>
      <c r="V39" s="550" t="str">
        <f t="shared" si="0"/>
        <v>8月</v>
      </c>
      <c r="W39" s="551">
        <f ca="1">INDIRECT("'0710'!"&amp;ADDRESS($AI39,COLUMN('0710'!V$4)))/1000</f>
        <v>451.605</v>
      </c>
      <c r="X39" s="551">
        <f t="shared" si="3"/>
        <v>755.3837399999983</v>
      </c>
      <c r="Y39" s="552">
        <f ca="1">INDIRECT("'0710'!"&amp;ADDRESS($AH39,COLUMN('0710'!E$4)))</f>
        <v>55529.99999999984</v>
      </c>
      <c r="Z39" s="552">
        <f>IF('0710'!$G75="","",'0710'!$G75)</f>
        <v>1535.200000000002</v>
      </c>
      <c r="AA39" s="552">
        <f ca="1">INDIRECT("'0710'!"&amp;ADDRESS($AH39,COLUMN('0710'!K$4)))</f>
        <v>28217.999999999985</v>
      </c>
      <c r="AB39" s="552">
        <f>IF('0710'!$M75="","",'0710'!$M75)</f>
        <v>663.9999999999998</v>
      </c>
      <c r="AC39" s="560">
        <f t="shared" si="8"/>
        <v>554189.3999999984</v>
      </c>
      <c r="AD39" s="561">
        <f t="shared" si="9"/>
        <v>0</v>
      </c>
      <c r="AE39" s="560">
        <f t="shared" si="4"/>
        <v>201194.33999999988</v>
      </c>
      <c r="AF39" s="561">
        <f t="shared" si="5"/>
        <v>0</v>
      </c>
      <c r="AG39" s="555"/>
      <c r="AH39" s="558">
        <f t="shared" si="6"/>
        <v>48</v>
      </c>
      <c r="AI39" s="558">
        <f t="shared" si="7"/>
        <v>129</v>
      </c>
    </row>
    <row r="40" spans="19:35" ht="12">
      <c r="S40" s="547">
        <f ca="1">INDIRECT("'0710'!"&amp;ADDRESS($AH40,COLUMN('0710'!A$4)))</f>
        <v>40360</v>
      </c>
      <c r="T40" s="548">
        <f ca="1">INDIRECT("'0710'!"&amp;ADDRESS($AI40,COLUMN('0710'!E$4)))</f>
        <v>235.8</v>
      </c>
      <c r="U40" s="549">
        <f ca="1">INDIRECT("'0710'!"&amp;ADDRESS($AI40,COLUMN('0710'!U$4)))</f>
        <v>267</v>
      </c>
      <c r="V40" s="550" t="str">
        <f t="shared" si="0"/>
        <v>7月</v>
      </c>
      <c r="W40" s="551">
        <f ca="1">INDIRECT("'0710'!"&amp;ADDRESS($AI40,COLUMN('0710'!V$4)))/1000</f>
        <v>476.595</v>
      </c>
      <c r="X40" s="551">
        <f t="shared" si="3"/>
        <v>581.6767199999992</v>
      </c>
      <c r="Y40" s="552">
        <f ca="1">INDIRECT("'0710'!"&amp;ADDRESS($AH40,COLUMN('0710'!E$4)))</f>
        <v>50135.99999999997</v>
      </c>
      <c r="Z40" s="552">
        <f>IF('0710'!$G76="","",'0710'!$G76)</f>
        <v>1482.5806451612884</v>
      </c>
      <c r="AA40" s="552">
        <f ca="1">INDIRECT("'0710'!"&amp;ADDRESS($AH40,COLUMN('0710'!K$4)))</f>
        <v>19589.99999999992</v>
      </c>
      <c r="AB40" s="552">
        <f>IF('0710'!$M76="","",'0710'!$M76)</f>
        <v>794.1290322580641</v>
      </c>
      <c r="AC40" s="560">
        <f t="shared" si="8"/>
        <v>0</v>
      </c>
      <c r="AD40" s="561">
        <f t="shared" si="9"/>
        <v>454733.5199999997</v>
      </c>
      <c r="AE40" s="560">
        <f t="shared" si="4"/>
        <v>0</v>
      </c>
      <c r="AF40" s="561">
        <f t="shared" si="5"/>
        <v>126943.19999999949</v>
      </c>
      <c r="AG40" s="555"/>
      <c r="AH40" s="558">
        <f t="shared" si="6"/>
        <v>49</v>
      </c>
      <c r="AI40" s="558">
        <f t="shared" si="7"/>
        <v>130</v>
      </c>
    </row>
    <row r="41" spans="19:35" ht="12">
      <c r="S41" s="547">
        <f ca="1">INDIRECT("'0710'!"&amp;ADDRESS($AH41,COLUMN('0710'!A$4)))</f>
        <v>40330</v>
      </c>
      <c r="T41" s="548">
        <f ca="1">INDIRECT("'0710'!"&amp;ADDRESS($AI41,COLUMN('0710'!E$4)))</f>
        <v>188.4</v>
      </c>
      <c r="U41" s="549">
        <f ca="1">INDIRECT("'0710'!"&amp;ADDRESS($AI41,COLUMN('0710'!U$4)))</f>
        <v>267</v>
      </c>
      <c r="V41" s="550" t="str">
        <f t="shared" si="0"/>
        <v>6月</v>
      </c>
      <c r="W41" s="551">
        <f ca="1">INDIRECT("'0710'!"&amp;ADDRESS($AI41,COLUMN('0710'!V$4)))/1000</f>
        <v>476.595</v>
      </c>
      <c r="X41" s="551">
        <f t="shared" si="3"/>
        <v>452.2797600000015</v>
      </c>
      <c r="Y41" s="552">
        <f ca="1">INDIRECT("'0710'!"&amp;ADDRESS($AH41,COLUMN('0710'!E$4)))</f>
        <v>32856.00000000013</v>
      </c>
      <c r="Z41" s="552">
        <f>IF('0710'!$G77="","",'0710'!$G77)</f>
        <v>1650.620689655173</v>
      </c>
      <c r="AA41" s="552">
        <f ca="1">INDIRECT("'0710'!"&amp;ADDRESS($AH41,COLUMN('0710'!K$4)))</f>
        <v>23808.000000000036</v>
      </c>
      <c r="AB41" s="552">
        <f>IF('0710'!$M77="","",'0710'!$M77)</f>
        <v>760.96551724138</v>
      </c>
      <c r="AC41" s="560">
        <f t="shared" si="8"/>
        <v>0</v>
      </c>
      <c r="AD41" s="561">
        <f t="shared" si="9"/>
        <v>298003.9200000012</v>
      </c>
      <c r="AE41" s="560">
        <f t="shared" si="4"/>
        <v>0</v>
      </c>
      <c r="AF41" s="561">
        <f t="shared" si="5"/>
        <v>154275.84000000026</v>
      </c>
      <c r="AG41" s="555"/>
      <c r="AH41" s="558">
        <f t="shared" si="6"/>
        <v>50</v>
      </c>
      <c r="AI41" s="558">
        <f t="shared" si="7"/>
        <v>131</v>
      </c>
    </row>
    <row r="42" spans="19:35" ht="12">
      <c r="S42" s="547">
        <f ca="1">INDIRECT("'0710'!"&amp;ADDRESS($AH42,COLUMN('0710'!A$4)))</f>
        <v>40299</v>
      </c>
      <c r="T42" s="548">
        <f ca="1">INDIRECT("'0710'!"&amp;ADDRESS($AI42,COLUMN('0710'!E$4)))</f>
        <v>159</v>
      </c>
      <c r="U42" s="549">
        <f ca="1">INDIRECT("'0710'!"&amp;ADDRESS($AI42,COLUMN('0710'!U$4)))</f>
        <v>267</v>
      </c>
      <c r="V42" s="550" t="str">
        <f t="shared" si="0"/>
        <v>5月</v>
      </c>
      <c r="W42" s="551">
        <f ca="1">INDIRECT("'0710'!"&amp;ADDRESS($AI42,COLUMN('0710'!V$4)))/1000</f>
        <v>476.595</v>
      </c>
      <c r="X42" s="551">
        <f t="shared" si="3"/>
        <v>405.8392799999998</v>
      </c>
      <c r="Y42" s="552">
        <f ca="1">INDIRECT("'0710'!"&amp;ADDRESS($AH42,COLUMN('0710'!E$4)))</f>
        <v>33959.99999999994</v>
      </c>
      <c r="Z42" s="552">
        <f>IF('0710'!$G78="","",'0710'!$G78)</f>
        <v>1350.387096774193</v>
      </c>
      <c r="AA42" s="552">
        <f ca="1">INDIRECT("'0710'!"&amp;ADDRESS($AH42,COLUMN('0710'!K$4)))</f>
        <v>15096.00000000005</v>
      </c>
      <c r="AB42" s="552">
        <f>IF('0710'!$M78="","",'0710'!$M78)</f>
        <v>1026.1935483870964</v>
      </c>
      <c r="AC42" s="560">
        <f t="shared" si="8"/>
        <v>0</v>
      </c>
      <c r="AD42" s="561">
        <f t="shared" si="9"/>
        <v>308017.1999999995</v>
      </c>
      <c r="AE42" s="560">
        <f t="shared" si="4"/>
        <v>0</v>
      </c>
      <c r="AF42" s="561">
        <f t="shared" si="5"/>
        <v>97822.08000000032</v>
      </c>
      <c r="AG42" s="555"/>
      <c r="AH42" s="558">
        <f t="shared" si="6"/>
        <v>51</v>
      </c>
      <c r="AI42" s="558">
        <f t="shared" si="7"/>
        <v>132</v>
      </c>
    </row>
    <row r="43" spans="1:35" ht="12">
      <c r="A43" s="553">
        <v>1</v>
      </c>
      <c r="B43" s="103" t="s">
        <v>324</v>
      </c>
      <c r="S43" s="547">
        <f ca="1">INDIRECT("'0710'!"&amp;ADDRESS($AH43,COLUMN('0710'!A$4)))</f>
        <v>40269</v>
      </c>
      <c r="T43" s="548">
        <f ca="1">INDIRECT("'0710'!"&amp;ADDRESS($AI43,COLUMN('0710'!E$4)))</f>
        <v>214.79999999999998</v>
      </c>
      <c r="U43" s="549">
        <f ca="1">INDIRECT("'0710'!"&amp;ADDRESS($AI43,COLUMN('0710'!U$4)))</f>
        <v>267</v>
      </c>
      <c r="V43" s="550" t="str">
        <f t="shared" si="0"/>
        <v>4月</v>
      </c>
      <c r="W43" s="551">
        <f ca="1">INDIRECT("'0710'!"&amp;ADDRESS($AI43,COLUMN('0710'!V$4)))/1000</f>
        <v>476.595</v>
      </c>
      <c r="X43" s="551">
        <f t="shared" si="3"/>
        <v>472.0318199999992</v>
      </c>
      <c r="Y43" s="552">
        <f ca="1">INDIRECT("'0710'!"&amp;ADDRESS($AH43,COLUMN('0710'!E$4)))</f>
        <v>40121.999999999935</v>
      </c>
      <c r="Z43" s="552">
        <f>IF('0710'!$G79="","",'0710'!$G79)</f>
        <v>1435.3548387096778</v>
      </c>
      <c r="AA43" s="552">
        <f ca="1">INDIRECT("'0710'!"&amp;ADDRESS($AH43,COLUMN('0710'!K$4)))</f>
        <v>16685.999999999967</v>
      </c>
      <c r="AB43" s="552">
        <f>IF('0710'!$M79="","",'0710'!$M79)</f>
        <v>886.0645161290323</v>
      </c>
      <c r="AC43" s="560">
        <f t="shared" si="8"/>
        <v>0</v>
      </c>
      <c r="AD43" s="561">
        <f t="shared" si="9"/>
        <v>363906.5399999994</v>
      </c>
      <c r="AE43" s="560">
        <f t="shared" si="4"/>
        <v>0</v>
      </c>
      <c r="AF43" s="561">
        <f t="shared" si="5"/>
        <v>108125.2799999998</v>
      </c>
      <c r="AG43" s="555"/>
      <c r="AH43" s="558">
        <f t="shared" si="6"/>
        <v>52</v>
      </c>
      <c r="AI43" s="558">
        <f t="shared" si="7"/>
        <v>133</v>
      </c>
    </row>
    <row r="44" spans="1:35" ht="12">
      <c r="A44" s="553"/>
      <c r="S44" s="547">
        <f ca="1">INDIRECT("'0710'!"&amp;ADDRESS($AH44,COLUMN('0710'!A$4)))</f>
        <v>40238</v>
      </c>
      <c r="T44" s="548">
        <f ca="1">INDIRECT("'0710'!"&amp;ADDRESS($AI44,COLUMN('0710'!E$4)))</f>
        <v>217.2</v>
      </c>
      <c r="U44" s="549">
        <f ca="1">INDIRECT("'0710'!"&amp;ADDRESS($AI44,COLUMN('0710'!U$4)))</f>
        <v>267</v>
      </c>
      <c r="V44" s="550" t="str">
        <f t="shared" si="0"/>
        <v>3月</v>
      </c>
      <c r="W44" s="551">
        <f ca="1">INDIRECT("'0710'!"&amp;ADDRESS($AI44,COLUMN('0710'!V$4)))/1000</f>
        <v>476.595</v>
      </c>
      <c r="X44" s="551">
        <f t="shared" si="3"/>
        <v>476.575260000001</v>
      </c>
      <c r="Y44" s="552">
        <f ca="1">INDIRECT("'0710'!"&amp;ADDRESS($AH44,COLUMN('0710'!E$4)))</f>
        <v>38994.000000000146</v>
      </c>
      <c r="Z44" s="552">
        <f>IF('0710'!$G80="","",'0710'!$G80)</f>
        <v>1573</v>
      </c>
      <c r="AA44" s="552">
        <f ca="1">INDIRECT("'0710'!"&amp;ADDRESS($AH44,COLUMN('0710'!K$4)))</f>
        <v>18965.99999999994</v>
      </c>
      <c r="AB44" s="552">
        <f>IF('0710'!$M80="","",'0710'!$M80)</f>
        <v>684.6000000000001</v>
      </c>
      <c r="AC44" s="560">
        <f t="shared" si="8"/>
        <v>0</v>
      </c>
      <c r="AD44" s="561">
        <f t="shared" si="9"/>
        <v>353675.58000000136</v>
      </c>
      <c r="AE44" s="560">
        <f t="shared" si="4"/>
        <v>0</v>
      </c>
      <c r="AF44" s="561">
        <f t="shared" si="5"/>
        <v>122899.67999999963</v>
      </c>
      <c r="AG44" s="555"/>
      <c r="AH44" s="558">
        <f t="shared" si="6"/>
        <v>53</v>
      </c>
      <c r="AI44" s="558">
        <f t="shared" si="7"/>
        <v>134</v>
      </c>
    </row>
    <row r="45" spans="1:35" ht="12">
      <c r="A45" s="553">
        <v>2</v>
      </c>
      <c r="B45" s="103" t="s">
        <v>325</v>
      </c>
      <c r="S45" s="547">
        <f ca="1">INDIRECT("'0710'!"&amp;ADDRESS($AH45,COLUMN('0710'!A$4)))</f>
        <v>40210</v>
      </c>
      <c r="T45" s="548">
        <f ca="1">INDIRECT("'0710'!"&amp;ADDRESS($AI45,COLUMN('0710'!E$4)))</f>
        <v>217.2</v>
      </c>
      <c r="U45" s="549">
        <f ca="1">INDIRECT("'0710'!"&amp;ADDRESS($AI45,COLUMN('0710'!U$4)))</f>
        <v>267</v>
      </c>
      <c r="V45" s="550" t="str">
        <f t="shared" si="0"/>
        <v>2月</v>
      </c>
      <c r="W45" s="551">
        <f ca="1">INDIRECT("'0710'!"&amp;ADDRESS($AI45,COLUMN('0710'!V$4)))/1000</f>
        <v>476.595</v>
      </c>
      <c r="X45" s="551">
        <f t="shared" si="3"/>
        <v>523.1863200000003</v>
      </c>
      <c r="Y45" s="552">
        <f ca="1">INDIRECT("'0710'!"&amp;ADDRESS($AH45,COLUMN('0710'!E$4)))</f>
        <v>38135.99999999997</v>
      </c>
      <c r="Z45" s="552">
        <f>IF('0710'!$G81="","",'0710'!$G81)</f>
        <v>1236.967741935484</v>
      </c>
      <c r="AA45" s="552">
        <f ca="1">INDIRECT("'0710'!"&amp;ADDRESS($AH45,COLUMN('0710'!K$4)))</f>
        <v>27360.00000000008</v>
      </c>
      <c r="AB45" s="552">
        <f>IF('0710'!$M81="","",'0710'!$M81)</f>
        <v>502.6451612903228</v>
      </c>
      <c r="AC45" s="560">
        <f t="shared" si="8"/>
        <v>0</v>
      </c>
      <c r="AD45" s="561">
        <f t="shared" si="9"/>
        <v>345893.5199999997</v>
      </c>
      <c r="AE45" s="560">
        <f t="shared" si="4"/>
        <v>0</v>
      </c>
      <c r="AF45" s="561">
        <f t="shared" si="5"/>
        <v>177292.80000000054</v>
      </c>
      <c r="AG45" s="555"/>
      <c r="AH45" s="558">
        <f t="shared" si="6"/>
        <v>54</v>
      </c>
      <c r="AI45" s="558">
        <f t="shared" si="7"/>
        <v>135</v>
      </c>
    </row>
    <row r="46" spans="2:35" ht="12">
      <c r="B46" s="103" t="s">
        <v>330</v>
      </c>
      <c r="S46" s="547">
        <f ca="1">INDIRECT("'0710'!"&amp;ADDRESS($AH46,COLUMN('0710'!A$4)))</f>
        <v>40179</v>
      </c>
      <c r="T46" s="548">
        <f ca="1">INDIRECT("'0710'!"&amp;ADDRESS($AI46,COLUMN('0710'!E$4)))</f>
        <v>210</v>
      </c>
      <c r="U46" s="549">
        <f ca="1">INDIRECT("'0710'!"&amp;ADDRESS($AI46,COLUMN('0710'!U$4)))</f>
        <v>267</v>
      </c>
      <c r="V46" s="550" t="str">
        <f t="shared" si="0"/>
        <v>1月</v>
      </c>
      <c r="W46" s="551">
        <f ca="1">INDIRECT("'0710'!"&amp;ADDRESS($AI46,COLUMN('0710'!V$4)))/1000</f>
        <v>476.595</v>
      </c>
      <c r="X46" s="551">
        <f t="shared" si="3"/>
        <v>493.7837999999983</v>
      </c>
      <c r="Y46" s="552">
        <f ca="1">INDIRECT("'0710'!"&amp;ADDRESS($AH46,COLUMN('0710'!E$4)))</f>
        <v>38867.99999999985</v>
      </c>
      <c r="Z46" s="552">
        <f>IF('0710'!$G82="","",'0710'!$G82)</f>
        <v>0</v>
      </c>
      <c r="AA46" s="552">
        <f ca="1">INDIRECT("'0710'!"&amp;ADDRESS($AH46,COLUMN('0710'!K$4)))</f>
        <v>21797.999999999956</v>
      </c>
      <c r="AB46" s="552">
        <f>IF('0710'!$M82="","",'0710'!$M82)</f>
        <v>20.999999999997954</v>
      </c>
      <c r="AC46" s="560">
        <f t="shared" si="8"/>
        <v>0</v>
      </c>
      <c r="AD46" s="561">
        <f t="shared" si="9"/>
        <v>352532.7599999986</v>
      </c>
      <c r="AE46" s="560">
        <f t="shared" si="4"/>
        <v>0</v>
      </c>
      <c r="AF46" s="561">
        <f t="shared" si="5"/>
        <v>141251.03999999972</v>
      </c>
      <c r="AG46" s="555"/>
      <c r="AH46" s="558">
        <f t="shared" si="6"/>
        <v>55</v>
      </c>
      <c r="AI46" s="558">
        <f t="shared" si="7"/>
        <v>136</v>
      </c>
    </row>
    <row r="47" spans="1:35" ht="12">
      <c r="A47" s="553"/>
      <c r="S47" s="547">
        <f ca="1">INDIRECT("'0710'!"&amp;ADDRESS($AH47,COLUMN('0710'!A$4)))</f>
        <v>40148</v>
      </c>
      <c r="T47" s="548">
        <f ca="1">INDIRECT("'0710'!"&amp;ADDRESS($AI47,COLUMN('0710'!E$4)))</f>
        <v>180</v>
      </c>
      <c r="U47" s="549">
        <f ca="1">INDIRECT("'0710'!"&amp;ADDRESS($AI47,COLUMN('0710'!U$4)))</f>
        <v>267</v>
      </c>
      <c r="V47" s="550" t="str">
        <f t="shared" si="0"/>
        <v>12月</v>
      </c>
      <c r="W47" s="551">
        <f ca="1">INDIRECT("'0710'!"&amp;ADDRESS($AI47,COLUMN('0710'!V$4)))/1000</f>
        <v>476.595</v>
      </c>
      <c r="X47" s="551">
        <f t="shared" si="3"/>
        <v>434.338860000001</v>
      </c>
      <c r="Y47" s="552">
        <f ca="1">INDIRECT("'0710'!"&amp;ADDRESS($AH47,COLUMN('0710'!E$4)))</f>
        <v>33690.00000000006</v>
      </c>
      <c r="Z47" s="552">
        <f>IF('0710'!$G83="","",'0710'!$G83)</f>
        <v>0</v>
      </c>
      <c r="AA47" s="552">
        <f ca="1">INDIRECT("'0710'!"&amp;ADDRESS($AH47,COLUMN('0710'!K$4)))</f>
        <v>19872.000000000073</v>
      </c>
      <c r="AB47" s="552">
        <f>IF('0710'!$M83="","",'0710'!$M83)</f>
        <v>0</v>
      </c>
      <c r="AC47" s="560">
        <f t="shared" si="8"/>
        <v>0</v>
      </c>
      <c r="AD47" s="561">
        <f t="shared" si="9"/>
        <v>305568.3000000005</v>
      </c>
      <c r="AE47" s="560">
        <f t="shared" si="4"/>
        <v>0</v>
      </c>
      <c r="AF47" s="561">
        <f t="shared" si="5"/>
        <v>128770.56000000048</v>
      </c>
      <c r="AG47" s="555"/>
      <c r="AH47" s="558">
        <f t="shared" si="6"/>
        <v>56</v>
      </c>
      <c r="AI47" s="558">
        <f t="shared" si="7"/>
        <v>137</v>
      </c>
    </row>
    <row r="48" spans="1:35" ht="12">
      <c r="A48" s="553">
        <v>3</v>
      </c>
      <c r="B48" s="103" t="s">
        <v>326</v>
      </c>
      <c r="S48" s="547">
        <f ca="1">INDIRECT("'0710'!"&amp;ADDRESS($AH48,COLUMN('0710'!A$4)))</f>
        <v>40118</v>
      </c>
      <c r="T48" s="548">
        <f ca="1">INDIRECT("'0710'!"&amp;ADDRESS($AI48,COLUMN('0710'!E$4)))</f>
        <v>187.8</v>
      </c>
      <c r="U48" s="549">
        <f ca="1">INDIRECT("'0710'!"&amp;ADDRESS($AI48,COLUMN('0710'!U$4)))</f>
        <v>267</v>
      </c>
      <c r="V48" s="550" t="str">
        <f t="shared" si="0"/>
        <v>11月</v>
      </c>
      <c r="W48" s="551">
        <f ca="1">INDIRECT("'0710'!"&amp;ADDRESS($AI48,COLUMN('0710'!V$4)))/1000</f>
        <v>476.595</v>
      </c>
      <c r="X48" s="551">
        <f t="shared" si="3"/>
        <v>504.0821399999994</v>
      </c>
      <c r="Y48" s="552">
        <f ca="1">INDIRECT("'0710'!"&amp;ADDRESS($AH48,COLUMN('0710'!E$4)))</f>
        <v>41297.999999999956</v>
      </c>
      <c r="Z48" s="552">
        <f>IF('0710'!$G84="","",'0710'!$G84)</f>
        <v>790.2222222222222</v>
      </c>
      <c r="AA48" s="552">
        <f ca="1">INDIRECT("'0710'!"&amp;ADDRESS($AH48,COLUMN('0710'!K$4)))</f>
        <v>19985.999999999967</v>
      </c>
      <c r="AB48" s="552">
        <f>IF('0710'!$M84="","",'0710'!$M84)</f>
        <v>104.7352941176471</v>
      </c>
      <c r="AC48" s="560">
        <f t="shared" si="8"/>
        <v>0</v>
      </c>
      <c r="AD48" s="561">
        <f t="shared" si="9"/>
        <v>374572.85999999964</v>
      </c>
      <c r="AE48" s="560">
        <f t="shared" si="4"/>
        <v>0</v>
      </c>
      <c r="AF48" s="561">
        <f t="shared" si="5"/>
        <v>129509.2799999998</v>
      </c>
      <c r="AG48" s="555"/>
      <c r="AH48" s="558">
        <f t="shared" si="6"/>
        <v>57</v>
      </c>
      <c r="AI48" s="558">
        <f t="shared" si="7"/>
        <v>138</v>
      </c>
    </row>
    <row r="49" spans="2:35" ht="12">
      <c r="B49" s="103" t="s">
        <v>327</v>
      </c>
      <c r="S49" s="547">
        <f ca="1">INDIRECT("'0710'!"&amp;ADDRESS($AH49,COLUMN('0710'!A$4)))</f>
        <v>40087</v>
      </c>
      <c r="T49" s="548">
        <f ca="1">INDIRECT("'0710'!"&amp;ADDRESS($AI49,COLUMN('0710'!E$4)))</f>
        <v>218.4</v>
      </c>
      <c r="U49" s="549">
        <f ca="1">INDIRECT("'0710'!"&amp;ADDRESS($AI49,COLUMN('0710'!U$4)))</f>
        <v>267</v>
      </c>
      <c r="V49" s="550" t="str">
        <f t="shared" si="0"/>
        <v>10月</v>
      </c>
      <c r="W49" s="551">
        <f ca="1">INDIRECT("'0710'!"&amp;ADDRESS($AI49,COLUMN('0710'!V$4)))/1000</f>
        <v>476.595</v>
      </c>
      <c r="X49" s="551">
        <f t="shared" si="3"/>
        <v>615.0297000000008</v>
      </c>
      <c r="Y49" s="552">
        <f ca="1">INDIRECT("'0710'!"&amp;ADDRESS($AH49,COLUMN('0710'!E$4)))</f>
        <v>43404.00000000009</v>
      </c>
      <c r="Z49" s="552">
        <f>IF('0710'!$G85="","",'0710'!$G85)</f>
        <v>1918.6451612903227</v>
      </c>
      <c r="AA49" s="552">
        <f ca="1">INDIRECT("'0710'!"&amp;ADDRESS($AH49,COLUMN('0710'!K$4)))</f>
        <v>25505.999999999993</v>
      </c>
      <c r="AB49" s="552">
        <f>IF('0710'!$M85="","",'0710'!$M85)</f>
        <v>729.951219512195</v>
      </c>
      <c r="AC49" s="560">
        <f t="shared" si="8"/>
        <v>433171.9200000009</v>
      </c>
      <c r="AD49" s="561">
        <f t="shared" si="9"/>
        <v>0</v>
      </c>
      <c r="AE49" s="560">
        <f t="shared" si="4"/>
        <v>181857.77999999994</v>
      </c>
      <c r="AF49" s="561">
        <f t="shared" si="5"/>
        <v>0</v>
      </c>
      <c r="AG49" s="555"/>
      <c r="AH49" s="558">
        <f t="shared" si="6"/>
        <v>58</v>
      </c>
      <c r="AI49" s="558">
        <f t="shared" si="7"/>
        <v>139</v>
      </c>
    </row>
    <row r="50" spans="1:35" ht="12">
      <c r="A50" s="553"/>
      <c r="S50" s="547">
        <f ca="1">INDIRECT("'0710'!"&amp;ADDRESS($AH50,COLUMN('0710'!A$4)))</f>
        <v>40057</v>
      </c>
      <c r="T50" s="548">
        <f ca="1">INDIRECT("'0710'!"&amp;ADDRESS($AI50,COLUMN('0710'!E$4)))</f>
        <v>252.6</v>
      </c>
      <c r="U50" s="549">
        <f ca="1">INDIRECT("'0710'!"&amp;ADDRESS($AI50,COLUMN('0710'!U$4)))</f>
        <v>267</v>
      </c>
      <c r="V50" s="550" t="str">
        <f t="shared" si="0"/>
        <v>9月</v>
      </c>
      <c r="W50" s="551">
        <f ca="1">INDIRECT("'0710'!"&amp;ADDRESS($AI50,COLUMN('0710'!V$4)))/1000</f>
        <v>476.595</v>
      </c>
      <c r="X50" s="551">
        <f t="shared" si="3"/>
        <v>740.8730399999994</v>
      </c>
      <c r="Y50" s="552">
        <f ca="1">INDIRECT("'0710'!"&amp;ADDRESS($AH50,COLUMN('0710'!E$4)))</f>
        <v>55391.99999999996</v>
      </c>
      <c r="Z50" s="552">
        <f>IF('0710'!$G86="","",'0710'!$G86)</f>
        <v>1915.0333333333315</v>
      </c>
      <c r="AA50" s="552">
        <f ca="1">INDIRECT("'0710'!"&amp;ADDRESS($AH50,COLUMN('0710'!K$4)))</f>
        <v>26375.999999999953</v>
      </c>
      <c r="AB50" s="552">
        <f>IF('0710'!$M86="","",'0710'!$M86)</f>
        <v>811.4666666666657</v>
      </c>
      <c r="AC50" s="560">
        <f t="shared" si="8"/>
        <v>552812.1599999997</v>
      </c>
      <c r="AD50" s="561">
        <f t="shared" si="9"/>
        <v>0</v>
      </c>
      <c r="AE50" s="560">
        <f t="shared" si="4"/>
        <v>188060.87999999966</v>
      </c>
      <c r="AF50" s="561">
        <f t="shared" si="5"/>
        <v>0</v>
      </c>
      <c r="AG50" s="555"/>
      <c r="AH50" s="558">
        <f t="shared" si="6"/>
        <v>59</v>
      </c>
      <c r="AI50" s="558">
        <f t="shared" si="7"/>
        <v>140</v>
      </c>
    </row>
    <row r="51" spans="1:35" ht="12">
      <c r="A51" s="553">
        <v>4</v>
      </c>
      <c r="B51" s="103" t="s">
        <v>328</v>
      </c>
      <c r="S51" s="547">
        <f ca="1">INDIRECT("'0710'!"&amp;ADDRESS($AH51,COLUMN('0710'!A$4)))</f>
        <v>40026</v>
      </c>
      <c r="T51" s="548">
        <f ca="1">INDIRECT("'0710'!"&amp;ADDRESS($AI51,COLUMN('0710'!E$4)))</f>
        <v>267</v>
      </c>
      <c r="U51" s="549">
        <f ca="1">INDIRECT("'0710'!"&amp;ADDRESS($AI51,COLUMN('0710'!U$4)))</f>
        <v>299</v>
      </c>
      <c r="V51" s="550" t="str">
        <f t="shared" si="0"/>
        <v>8月</v>
      </c>
      <c r="W51" s="551">
        <f ca="1">INDIRECT("'0710'!"&amp;ADDRESS($AI51,COLUMN('0710'!V$4)))/1000</f>
        <v>533.715</v>
      </c>
      <c r="X51" s="551">
        <f t="shared" si="3"/>
        <v>737.7041400000002</v>
      </c>
      <c r="Y51" s="552">
        <f ca="1">INDIRECT("'0710'!"&amp;ADDRESS($AH51,COLUMN('0710'!E$4)))</f>
        <v>56982.000000000015</v>
      </c>
      <c r="Z51" s="552">
        <f>IF('0710'!$G87="","",'0710'!$G87)</f>
      </c>
      <c r="AA51" s="552">
        <f ca="1">INDIRECT("'0710'!"&amp;ADDRESS($AH51,COLUMN('0710'!K$4)))</f>
        <v>23705.999999999993</v>
      </c>
      <c r="AB51" s="552" t="str">
        <f>IF('0710'!$M87="","",'0710'!$M87)</f>
        <v>6/21～7/1</v>
      </c>
      <c r="AC51" s="560">
        <f t="shared" si="8"/>
        <v>568680.3600000002</v>
      </c>
      <c r="AD51" s="561">
        <f t="shared" si="9"/>
        <v>0</v>
      </c>
      <c r="AE51" s="560">
        <f t="shared" si="4"/>
        <v>169023.77999999994</v>
      </c>
      <c r="AF51" s="561">
        <f t="shared" si="5"/>
        <v>0</v>
      </c>
      <c r="AG51" s="555"/>
      <c r="AH51" s="558">
        <f t="shared" si="6"/>
        <v>60</v>
      </c>
      <c r="AI51" s="558">
        <f t="shared" si="7"/>
        <v>141</v>
      </c>
    </row>
    <row r="52" spans="1:35" ht="12">
      <c r="A52" s="553"/>
      <c r="S52" s="547">
        <f ca="1">INDIRECT("'0710'!"&amp;ADDRESS($AH52,COLUMN('0710'!A$4)))</f>
        <v>39995</v>
      </c>
      <c r="T52" s="548">
        <f ca="1">INDIRECT("'0710'!"&amp;ADDRESS($AI52,COLUMN('0710'!E$4)))</f>
        <v>247.2</v>
      </c>
      <c r="U52" s="549">
        <f ca="1">INDIRECT("'0710'!"&amp;ADDRESS($AI52,COLUMN('0710'!U$4)))</f>
        <v>299</v>
      </c>
      <c r="V52" s="550" t="str">
        <f t="shared" si="0"/>
        <v>7月</v>
      </c>
      <c r="W52" s="551">
        <f ca="1">INDIRECT("'0710'!"&amp;ADDRESS($AI52,COLUMN('0710'!V$4)))/1000</f>
        <v>533.715</v>
      </c>
      <c r="X52" s="551">
        <f t="shared" si="3"/>
        <v>629.9720400000002</v>
      </c>
      <c r="Y52" s="552">
        <f ca="1">INDIRECT("'0710'!"&amp;ADDRESS($AH52,COLUMN('0710'!E$4)))</f>
        <v>54732.000000000015</v>
      </c>
      <c r="Z52" s="552">
        <f>IF('0710'!$G88="","",'0710'!$G88)</f>
      </c>
      <c r="AA52" s="552">
        <f ca="1">INDIRECT("'0710'!"&amp;ADDRESS($AH52,COLUMN('0710'!K$4)))</f>
        <v>20610.000000000015</v>
      </c>
      <c r="AB52" s="552" t="str">
        <f>IF('0710'!$M88="","",'0710'!$M88)</f>
        <v>6/1～6/21</v>
      </c>
      <c r="AC52" s="560">
        <f t="shared" si="8"/>
        <v>0</v>
      </c>
      <c r="AD52" s="561">
        <f t="shared" si="9"/>
        <v>496419.24000000017</v>
      </c>
      <c r="AE52" s="560">
        <f t="shared" si="4"/>
        <v>0</v>
      </c>
      <c r="AF52" s="561">
        <f t="shared" si="5"/>
        <v>133552.8000000001</v>
      </c>
      <c r="AG52" s="555"/>
      <c r="AH52" s="558">
        <f t="shared" si="6"/>
        <v>61</v>
      </c>
      <c r="AI52" s="558">
        <f t="shared" si="7"/>
        <v>142</v>
      </c>
    </row>
    <row r="53" spans="1:35" ht="12">
      <c r="A53" s="553"/>
      <c r="C53" s="103" t="s">
        <v>331</v>
      </c>
      <c r="S53" s="547">
        <f ca="1">INDIRECT("'0710'!"&amp;ADDRESS($AH53,COLUMN('0710'!A$4)))</f>
        <v>39965</v>
      </c>
      <c r="T53" s="548">
        <f ca="1">INDIRECT("'0710'!"&amp;ADDRESS($AI53,COLUMN('0710'!E$4)))</f>
        <v>219</v>
      </c>
      <c r="U53" s="549">
        <f ca="1">INDIRECT("'0710'!"&amp;ADDRESS($AI53,COLUMN('0710'!U$4)))</f>
        <v>299</v>
      </c>
      <c r="V53" s="550" t="str">
        <f t="shared" si="0"/>
        <v>6月</v>
      </c>
      <c r="W53" s="551">
        <f ca="1">INDIRECT("'0710'!"&amp;ADDRESS($AI53,COLUMN('0710'!V$4)))/1000</f>
        <v>533.715</v>
      </c>
      <c r="X53" s="551">
        <f t="shared" si="3"/>
        <v>532.2793200000003</v>
      </c>
      <c r="Y53" s="552">
        <f ca="1">INDIRECT("'0710'!"&amp;ADDRESS($AH53,COLUMN('0710'!E$4)))</f>
        <v>36708.00000000004</v>
      </c>
      <c r="Z53" s="552">
        <f>IF('0710'!$G89="","",'0710'!$G89)</f>
      </c>
      <c r="AA53" s="552">
        <f ca="1">INDIRECT("'0710'!"&amp;ADDRESS($AH53,COLUMN('0710'!K$4)))</f>
        <v>30761.99999999999</v>
      </c>
      <c r="AB53" s="552">
        <f>IF('0710'!$M89="","",'0710'!$M89)</f>
      </c>
      <c r="AC53" s="560">
        <f t="shared" si="8"/>
        <v>0</v>
      </c>
      <c r="AD53" s="561">
        <f t="shared" si="9"/>
        <v>332941.56000000035</v>
      </c>
      <c r="AE53" s="560">
        <f t="shared" si="4"/>
        <v>0</v>
      </c>
      <c r="AF53" s="561">
        <f t="shared" si="5"/>
        <v>199337.75999999995</v>
      </c>
      <c r="AG53" s="555"/>
      <c r="AH53" s="558">
        <f t="shared" si="6"/>
        <v>62</v>
      </c>
      <c r="AI53" s="558">
        <f t="shared" si="7"/>
        <v>143</v>
      </c>
    </row>
    <row r="54" spans="1:35" ht="12">
      <c r="A54" s="553"/>
      <c r="S54" s="547">
        <f ca="1">INDIRECT("'0710'!"&amp;ADDRESS($AH54,COLUMN('0710'!A$4)))</f>
        <v>39934</v>
      </c>
      <c r="T54" s="548">
        <f ca="1">INDIRECT("'0710'!"&amp;ADDRESS($AI54,COLUMN('0710'!E$4)))</f>
        <v>212.39999999999998</v>
      </c>
      <c r="U54" s="549">
        <f ca="1">INDIRECT("'0710'!"&amp;ADDRESS($AI54,COLUMN('0710'!U$4)))</f>
        <v>299</v>
      </c>
      <c r="V54" s="550" t="str">
        <f t="shared" si="0"/>
        <v>5月</v>
      </c>
      <c r="W54" s="551">
        <f ca="1">INDIRECT("'0710'!"&amp;ADDRESS($AI54,COLUMN('0710'!V$4)))/1000</f>
        <v>533.715</v>
      </c>
      <c r="X54" s="551">
        <f t="shared" si="3"/>
        <v>473.85197999999957</v>
      </c>
      <c r="Y54" s="552">
        <f ca="1">INDIRECT("'0710'!"&amp;ADDRESS($AH54,COLUMN('0710'!E$4)))</f>
        <v>39833.99999999993</v>
      </c>
      <c r="Z54" s="552" t="e">
        <f>IF('0710'!#REF!="","",'0710'!#REF!)</f>
        <v>#REF!</v>
      </c>
      <c r="AA54" s="552">
        <f ca="1">INDIRECT("'0710'!"&amp;ADDRESS($AH54,COLUMN('0710'!K$4)))</f>
        <v>17370.00000000003</v>
      </c>
      <c r="AB54" s="552" t="e">
        <f>IF('0710'!#REF!="","",'0710'!#REF!)</f>
        <v>#REF!</v>
      </c>
      <c r="AC54" s="560">
        <f t="shared" si="8"/>
        <v>0</v>
      </c>
      <c r="AD54" s="561">
        <f t="shared" si="9"/>
        <v>361294.37999999936</v>
      </c>
      <c r="AE54" s="560">
        <f t="shared" si="4"/>
        <v>0</v>
      </c>
      <c r="AF54" s="561">
        <f t="shared" si="5"/>
        <v>112557.6000000002</v>
      </c>
      <c r="AG54" s="555"/>
      <c r="AH54" s="558">
        <f t="shared" si="6"/>
        <v>63</v>
      </c>
      <c r="AI54" s="558">
        <f t="shared" si="7"/>
        <v>144</v>
      </c>
    </row>
    <row r="55" spans="1:35" ht="12">
      <c r="A55" s="553"/>
      <c r="C55" s="103" t="s">
        <v>332</v>
      </c>
      <c r="S55" s="547">
        <f ca="1">INDIRECT("'0710'!"&amp;ADDRESS($AH55,COLUMN('0710'!A$4)))</f>
        <v>39904</v>
      </c>
      <c r="T55" s="548">
        <f ca="1">INDIRECT("'0710'!"&amp;ADDRESS($AI55,COLUMN('0710'!E$4)))</f>
        <v>206.39999999999998</v>
      </c>
      <c r="U55" s="549">
        <f ca="1">INDIRECT("'0710'!"&amp;ADDRESS($AI55,COLUMN('0710'!U$4)))</f>
        <v>299</v>
      </c>
      <c r="V55" s="550" t="str">
        <f t="shared" si="0"/>
        <v>4月</v>
      </c>
      <c r="W55" s="551">
        <f ca="1">INDIRECT("'0710'!"&amp;ADDRESS($AI55,COLUMN('0710'!V$4)))/1000</f>
        <v>533.715</v>
      </c>
      <c r="X55" s="551">
        <f t="shared" si="3"/>
        <v>511.84026</v>
      </c>
      <c r="Y55" s="552">
        <f ca="1">INDIRECT("'0710'!"&amp;ADDRESS($AH55,COLUMN('0710'!E$4)))</f>
        <v>42461.999999999985</v>
      </c>
      <c r="Z55" s="552" t="e">
        <f>IF('0710'!#REF!="","",'0710'!#REF!)</f>
        <v>#REF!</v>
      </c>
      <c r="AA55" s="552">
        <f ca="1">INDIRECT("'0710'!"&amp;ADDRESS($AH55,COLUMN('0710'!K$4)))</f>
        <v>19554.00000000002</v>
      </c>
      <c r="AB55" s="552" t="e">
        <f>IF('0710'!#REF!="","",'0710'!#REF!)</f>
        <v>#REF!</v>
      </c>
      <c r="AC55" s="560">
        <f t="shared" si="8"/>
        <v>0</v>
      </c>
      <c r="AD55" s="561">
        <f t="shared" si="9"/>
        <v>385130.33999999985</v>
      </c>
      <c r="AE55" s="560">
        <f t="shared" si="4"/>
        <v>0</v>
      </c>
      <c r="AF55" s="561">
        <f t="shared" si="5"/>
        <v>126709.92000000013</v>
      </c>
      <c r="AG55" s="555"/>
      <c r="AH55" s="558">
        <f t="shared" si="6"/>
        <v>64</v>
      </c>
      <c r="AI55" s="558">
        <f t="shared" si="7"/>
        <v>145</v>
      </c>
    </row>
    <row r="56" spans="1:35" ht="12">
      <c r="A56" s="553"/>
      <c r="S56" s="547">
        <f ca="1">INDIRECT("'0710'!"&amp;ADDRESS($AH56,COLUMN('0710'!A$4)))</f>
        <v>39873</v>
      </c>
      <c r="T56" s="548">
        <f ca="1">INDIRECT("'0710'!"&amp;ADDRESS($AI56,COLUMN('0710'!E$4)))</f>
        <v>231</v>
      </c>
      <c r="U56" s="549">
        <f ca="1">INDIRECT("'0710'!"&amp;ADDRESS($AI56,COLUMN('0710'!U$4)))</f>
        <v>299</v>
      </c>
      <c r="V56" s="550" t="str">
        <f t="shared" si="0"/>
        <v>3月</v>
      </c>
      <c r="W56" s="551">
        <f ca="1">INDIRECT("'0710'!"&amp;ADDRESS($AI56,COLUMN('0710'!V$4)))/1000</f>
        <v>533.715</v>
      </c>
      <c r="X56" s="551">
        <f t="shared" si="3"/>
        <v>479.1874800000002</v>
      </c>
      <c r="Y56" s="552">
        <f ca="1">INDIRECT("'0710'!"&amp;ADDRESS($AH56,COLUMN('0710'!E$4)))</f>
        <v>39252.000000000044</v>
      </c>
      <c r="Z56" s="552" t="e">
        <f>IF('0710'!#REF!="","",'0710'!#REF!)</f>
        <v>#REF!</v>
      </c>
      <c r="AA56" s="552">
        <f ca="1">INDIRECT("'0710'!"&amp;ADDRESS($AH56,COLUMN('0710'!K$4)))</f>
        <v>19007.99999999997</v>
      </c>
      <c r="AB56" s="552" t="e">
        <f>IF('0710'!#REF!="","",'0710'!#REF!)</f>
        <v>#REF!</v>
      </c>
      <c r="AC56" s="560">
        <f t="shared" si="8"/>
        <v>0</v>
      </c>
      <c r="AD56" s="561">
        <f t="shared" si="9"/>
        <v>356015.6400000004</v>
      </c>
      <c r="AE56" s="560">
        <f t="shared" si="4"/>
        <v>0</v>
      </c>
      <c r="AF56" s="561">
        <f t="shared" si="5"/>
        <v>123171.83999999982</v>
      </c>
      <c r="AG56" s="555"/>
      <c r="AH56" s="558">
        <f t="shared" si="6"/>
        <v>65</v>
      </c>
      <c r="AI56" s="558">
        <f t="shared" si="7"/>
        <v>146</v>
      </c>
    </row>
    <row r="57" spans="1:35" ht="12">
      <c r="A57" s="553">
        <v>5</v>
      </c>
      <c r="B57" s="103" t="s">
        <v>329</v>
      </c>
      <c r="S57" s="547">
        <f ca="1">INDIRECT("'0710'!"&amp;ADDRESS($AH57,COLUMN('0710'!A$4)))</f>
        <v>39845</v>
      </c>
      <c r="T57" s="548">
        <f ca="1">INDIRECT("'0710'!"&amp;ADDRESS($AI57,COLUMN('0710'!E$4)))</f>
        <v>245.39999999999998</v>
      </c>
      <c r="U57" s="549">
        <f ca="1">INDIRECT("'0710'!"&amp;ADDRESS($AI57,COLUMN('0710'!U$4)))</f>
        <v>299</v>
      </c>
      <c r="V57" s="550" t="str">
        <f t="shared" si="0"/>
        <v>2月</v>
      </c>
      <c r="W57" s="551">
        <f ca="1">INDIRECT("'0710'!"&amp;ADDRESS($AI57,COLUMN('0710'!V$4)))/1000</f>
        <v>533.715</v>
      </c>
      <c r="X57" s="551">
        <f t="shared" si="3"/>
        <v>556.4457600000001</v>
      </c>
      <c r="Y57" s="552">
        <f ca="1">INDIRECT("'0710'!"&amp;ADDRESS($AH57,COLUMN('0710'!E$4)))</f>
        <v>41279.99999999997</v>
      </c>
      <c r="Z57" s="552" t="e">
        <f>IF('0710'!#REF!="","",'0710'!#REF!)</f>
        <v>#REF!</v>
      </c>
      <c r="AA57" s="552">
        <f ca="1">INDIRECT("'0710'!"&amp;ADDRESS($AH57,COLUMN('0710'!K$4)))</f>
        <v>28092.00000000003</v>
      </c>
      <c r="AB57" s="552" t="e">
        <f>IF('0710'!#REF!="","",'0710'!#REF!)</f>
        <v>#REF!</v>
      </c>
      <c r="AC57" s="560">
        <f t="shared" si="8"/>
        <v>0</v>
      </c>
      <c r="AD57" s="561">
        <f t="shared" si="9"/>
        <v>374409.59999999974</v>
      </c>
      <c r="AE57" s="560">
        <f t="shared" si="4"/>
        <v>0</v>
      </c>
      <c r="AF57" s="561">
        <f t="shared" si="5"/>
        <v>182036.1600000002</v>
      </c>
      <c r="AG57" s="555"/>
      <c r="AH57" s="558">
        <f t="shared" si="6"/>
        <v>66</v>
      </c>
      <c r="AI57" s="558">
        <f t="shared" si="7"/>
        <v>147</v>
      </c>
    </row>
    <row r="58" spans="1:35" ht="12">
      <c r="A58" s="553"/>
      <c r="C58" s="103" t="s">
        <v>377</v>
      </c>
      <c r="S58" s="547">
        <f ca="1">INDIRECT("'0710'!"&amp;ADDRESS($AH58,COLUMN('0710'!A$4)))</f>
        <v>39814</v>
      </c>
      <c r="T58" s="548">
        <f ca="1">INDIRECT("'0710'!"&amp;ADDRESS($AI58,COLUMN('0710'!E$4)))</f>
        <v>204.60000000000002</v>
      </c>
      <c r="U58" s="549">
        <f ca="1">INDIRECT("'0710'!"&amp;ADDRESS($AI58,COLUMN('0710'!U$4)))</f>
        <v>299</v>
      </c>
      <c r="V58" s="550" t="str">
        <f t="shared" si="0"/>
        <v>1月</v>
      </c>
      <c r="W58" s="551">
        <f ca="1">INDIRECT("'0710'!"&amp;ADDRESS($AI58,COLUMN('0710'!V$4)))/1000</f>
        <v>533.715</v>
      </c>
      <c r="X58" s="551">
        <f t="shared" si="3"/>
        <v>544.5855600000009</v>
      </c>
      <c r="Y58" s="552">
        <f ca="1">INDIRECT("'0710'!"&amp;ADDRESS($AH58,COLUMN('0710'!E$4)))</f>
        <v>42180.00000000011</v>
      </c>
      <c r="Z58" s="552" t="e">
        <f>IF('0710'!#REF!="","",'0710'!#REF!)</f>
        <v>#REF!</v>
      </c>
      <c r="AA58" s="552">
        <f ca="1">INDIRECT("'0710'!"&amp;ADDRESS($AH58,COLUMN('0710'!K$4)))</f>
        <v>25001.999999999975</v>
      </c>
      <c r="AB58" s="552" t="e">
        <f>IF('0710'!#REF!="","",'0710'!#REF!)</f>
        <v>#REF!</v>
      </c>
      <c r="AC58" s="560">
        <f t="shared" si="8"/>
        <v>0</v>
      </c>
      <c r="AD58" s="561">
        <f t="shared" si="9"/>
        <v>382572.600000001</v>
      </c>
      <c r="AE58" s="560">
        <f t="shared" si="4"/>
        <v>0</v>
      </c>
      <c r="AF58" s="561">
        <f t="shared" si="5"/>
        <v>162012.95999999985</v>
      </c>
      <c r="AG58" s="555"/>
      <c r="AH58" s="558">
        <f t="shared" si="6"/>
        <v>67</v>
      </c>
      <c r="AI58" s="558">
        <f t="shared" si="7"/>
        <v>148</v>
      </c>
    </row>
    <row r="59" spans="1:35" ht="12">
      <c r="A59" s="553"/>
      <c r="C59" s="103" t="s">
        <v>378</v>
      </c>
      <c r="S59" s="547">
        <f ca="1">INDIRECT("'0710'!"&amp;ADDRESS($AH59,COLUMN('0710'!A$4)))</f>
        <v>39783</v>
      </c>
      <c r="T59" s="548">
        <f ca="1">INDIRECT("'0710'!"&amp;ADDRESS($AI59,COLUMN('0710'!E$4)))</f>
        <v>211.79999999999998</v>
      </c>
      <c r="U59" s="549">
        <f ca="1">INDIRECT("'0710'!"&amp;ADDRESS($AI59,COLUMN('0710'!U$4)))</f>
        <v>299</v>
      </c>
      <c r="V59" s="550" t="str">
        <f t="shared" si="0"/>
        <v>12月</v>
      </c>
      <c r="W59" s="551">
        <f ca="1">INDIRECT("'0710'!"&amp;ADDRESS($AI59,COLUMN('0710'!V$4)))/1000</f>
        <v>533.715</v>
      </c>
      <c r="X59" s="551">
        <f t="shared" si="3"/>
        <v>521.7772199999993</v>
      </c>
      <c r="Y59" s="552">
        <f ca="1">INDIRECT("'0710'!"&amp;ADDRESS($AH59,COLUMN('0710'!E$4)))</f>
        <v>38957.9999999999</v>
      </c>
      <c r="Z59" s="552" t="e">
        <f>IF('0710'!#REF!="","",'0710'!#REF!)</f>
        <v>#REF!</v>
      </c>
      <c r="AA59" s="552">
        <f ca="1">INDIRECT("'0710'!"&amp;ADDRESS($AH59,COLUMN('0710'!K$4)))</f>
        <v>25992.00000000003</v>
      </c>
      <c r="AB59" s="552" t="e">
        <f>IF('0710'!#REF!="","",'0710'!#REF!)</f>
        <v>#REF!</v>
      </c>
      <c r="AC59" s="560">
        <f t="shared" si="8"/>
        <v>0</v>
      </c>
      <c r="AD59" s="561">
        <f t="shared" si="9"/>
        <v>353349.05999999907</v>
      </c>
      <c r="AE59" s="560">
        <f t="shared" si="4"/>
        <v>0</v>
      </c>
      <c r="AF59" s="561">
        <f t="shared" si="5"/>
        <v>168428.1600000002</v>
      </c>
      <c r="AG59" s="555"/>
      <c r="AH59" s="558">
        <f t="shared" si="6"/>
        <v>68</v>
      </c>
      <c r="AI59" s="558">
        <f t="shared" si="7"/>
        <v>149</v>
      </c>
    </row>
    <row r="60" spans="1:3" ht="12">
      <c r="A60" s="553"/>
      <c r="C60" s="103" t="s">
        <v>393</v>
      </c>
    </row>
    <row r="61" spans="1:3" ht="12">
      <c r="A61" s="553"/>
      <c r="C61" s="103" t="s">
        <v>379</v>
      </c>
    </row>
    <row r="62" ht="12">
      <c r="C62" s="103" t="s">
        <v>394</v>
      </c>
    </row>
    <row r="63" ht="12">
      <c r="C63" s="103" t="s">
        <v>380</v>
      </c>
    </row>
    <row r="64" ht="12">
      <c r="C64" s="103" t="s">
        <v>382</v>
      </c>
    </row>
    <row r="65" ht="12">
      <c r="C65" s="103" t="s">
        <v>381</v>
      </c>
    </row>
  </sheetData>
  <sheetProtection/>
  <mergeCells count="1">
    <mergeCell ref="Q2:R2"/>
  </mergeCells>
  <dataValidations count="2">
    <dataValidation allowBlank="1" showInputMessage="1" showErrorMessage="1" imeMode="hiragana" sqref="B2:H2"/>
    <dataValidation allowBlank="1" showInputMessage="1" showErrorMessage="1" imeMode="off" sqref="Y5:AG59"/>
  </dataValidations>
  <printOptions/>
  <pageMargins left="0.89" right="0.1968503937007874" top="1.09" bottom="0.94" header="0.64" footer="0.54"/>
  <pageSetup orientation="portrait" paperSize="9" scale="98" r:id="rId2"/>
  <headerFooter alignWithMargins="0">
    <oddHeader>&amp;C&amp;"ＭＳ 明朝,標準"&amp;16デマンド及び電気料金年報（過去３年間）</oddHeader>
    <oddFooter>&amp;L&amp;"ＭＳ Ｐ明朝,標準"&amp;9&amp;F　：　&amp;A&amp;R&amp;"ＭＳ 明朝,標準"&amp;9一般社団法人北陸電気管理技術者協会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dk.ayabe</cp:lastModifiedBy>
  <cp:lastPrinted>2013-05-26T04:20:20Z</cp:lastPrinted>
  <dcterms:created xsi:type="dcterms:W3CDTF">1997-01-08T22:48:59Z</dcterms:created>
  <dcterms:modified xsi:type="dcterms:W3CDTF">2013-05-26T04:20:48Z</dcterms:modified>
  <cp:category/>
  <cp:version/>
  <cp:contentType/>
  <cp:contentStatus/>
</cp:coreProperties>
</file>