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データ入力" sheetId="1" r:id="rId1"/>
    <sheet name="印刷" sheetId="2" r:id="rId2"/>
    <sheet name="解説" sheetId="3" r:id="rId3"/>
  </sheets>
  <definedNames>
    <definedName name="_xlnm.Print_Area" localSheetId="1">'印刷'!$A:$G</definedName>
    <definedName name="_xlnm.Print_Titles" localSheetId="0">'データ入力'!$A:$A,'データ入力'!$1:$3</definedName>
    <definedName name="_xlnm.Print_Titles" localSheetId="1">'印刷'!$1:$2</definedName>
  </definedNames>
  <calcPr fullCalcOnLoad="1"/>
</workbook>
</file>

<file path=xl/sharedStrings.xml><?xml version="1.0" encoding="utf-8"?>
<sst xmlns="http://schemas.openxmlformats.org/spreadsheetml/2006/main" count="127" uniqueCount="76">
  <si>
    <t>電力会社からの請求データ</t>
  </si>
  <si>
    <t>使用量</t>
  </si>
  <si>
    <t>〔kWh〕</t>
  </si>
  <si>
    <t>基本料金</t>
  </si>
  <si>
    <t>電力量料金</t>
  </si>
  <si>
    <t>〔円〕</t>
  </si>
  <si>
    <t>検針</t>
  </si>
  <si>
    <t>年月日</t>
  </si>
  <si>
    <t>電灯</t>
  </si>
  <si>
    <t>動力</t>
  </si>
  <si>
    <t>電化厨房</t>
  </si>
  <si>
    <t>テナントA</t>
  </si>
  <si>
    <t>テナントB</t>
  </si>
  <si>
    <t>テナントC</t>
  </si>
  <si>
    <t>テナントD</t>
  </si>
  <si>
    <t>テナントx</t>
  </si>
  <si>
    <t>共用</t>
  </si>
  <si>
    <t>電力量</t>
  </si>
  <si>
    <t>〔kWh〕</t>
  </si>
  <si>
    <t>有効</t>
  </si>
  <si>
    <t>行 №</t>
  </si>
  <si>
    <t>前月使用電力量〔kWh〕</t>
  </si>
  <si>
    <t>割引単価</t>
  </si>
  <si>
    <t>〔円/kWh〕</t>
  </si>
  <si>
    <t>データ入力</t>
  </si>
  <si>
    <t>検針データ ：</t>
  </si>
  <si>
    <t>当月検針値</t>
  </si>
  <si>
    <t>前月検針値</t>
  </si>
  <si>
    <t>使用電力量</t>
  </si>
  <si>
    <t>電力量合計</t>
  </si>
  <si>
    <t>〔円／kWh〕</t>
  </si>
  <si>
    <t>割引金額</t>
  </si>
  <si>
    <t>電化厨房
割引前</t>
  </si>
  <si>
    <t>料金総額</t>
  </si>
  <si>
    <t>電化厨房
割引前金額</t>
  </si>
  <si>
    <t>割引前料金</t>
  </si>
  <si>
    <t>割引後料金</t>
  </si>
  <si>
    <t>電気料金</t>
  </si>
  <si>
    <t>テナント使用
総電力量〔kWh〕</t>
  </si>
  <si>
    <t>テナント分担
料金総額〔円〕</t>
  </si>
  <si>
    <t>共用部分
電力量〔kWh〕</t>
  </si>
  <si>
    <t>共用電気
料金〔円〕</t>
  </si>
  <si>
    <t>電力会社からの請求書データ</t>
  </si>
  <si>
    <r>
      <t>テナント　子メータ検針値　〔kWh〕　</t>
    </r>
    <r>
      <rPr>
        <sz val="11"/>
        <color indexed="12"/>
        <rFont val="ＭＳ Ｐゴシック"/>
        <family val="3"/>
      </rPr>
      <t>【テナントの追加は、列O-Pをコピーして列Qの前に挿入する】</t>
    </r>
  </si>
  <si>
    <t>←[データ入力]の2行目をコピー・貼り付け</t>
  </si>
  <si>
    <t>←[データ入力]の3行目をコピー・貼り付け</t>
  </si>
  <si>
    <t>←数式内"!●"の、列を示すアルファベット●を[データ入力]の該当列記号に変更する。</t>
  </si>
  <si>
    <t>←同上</t>
  </si>
  <si>
    <t>子メータ初期値 →</t>
  </si>
  <si>
    <r>
      <t xml:space="preserve">使用電力量および電気料金計算表 </t>
    </r>
    <r>
      <rPr>
        <sz val="12"/>
        <rFont val="ＭＳ Ｐゴシック"/>
        <family val="3"/>
      </rPr>
      <t>《○○ショッピングセンター》</t>
    </r>
  </si>
  <si>
    <t>電化厨房契約テナント</t>
  </si>
  <si>
    <t>←「テナントE」～ を追加するときは、「テナントx」のセル群を移動して</t>
  </si>
  <si>
    <t>異動後の空きセルに「テナントD」等のセル群をコピー、</t>
  </si>
  <si>
    <t>貼り付けた新テナント・セル群について、上印刷範囲外 21～24行に記載の</t>
  </si>
  <si>
    <t>データ引用処理方法例に従って、項目名と計算式を修正する。</t>
  </si>
  <si>
    <t>[データ入力]シートについて</t>
  </si>
  <si>
    <t>[印刷]シートについて</t>
  </si>
  <si>
    <t>テナント（電灯＋動力）を追加するときは、「テナントx」の手前列をコピーして、「テナントx」の前に挿入する。</t>
  </si>
  <si>
    <t>理由は、当該シートの最下行で算定する、最新検針月の「共用電力量」の計算式において「テナントx」を終端に設定しているためである。</t>
  </si>
  <si>
    <t>この列のセルには、当月データの引用に必要な、「最新データを入力した行番号」を検出する計算式が設定されている。</t>
  </si>
  <si>
    <t>電化厨房割引単価</t>
  </si>
  <si>
    <t>北陸電力の「電化厨房契約約款」の変更により、単価が変更された翌月の行において、新単価を入力する。</t>
  </si>
  <si>
    <t>セル[B3]</t>
  </si>
  <si>
    <t>セル[B4]</t>
  </si>
  <si>
    <t>「共用電力量」は、[データ入力]シートの最下行の前月使用電力量を直接引用している。</t>
  </si>
  <si>
    <t>検針値、使用電力量のデータ引用、計算</t>
  </si>
  <si>
    <t>その他は「検針値」を[データ入力]シートから引用し、「使用電力量」「料金」は本シート内のセル・データを引用・計算している。</t>
  </si>
  <si>
    <t>シート上の補足表示[オートシェーブ]の扱いについて</t>
  </si>
  <si>
    <t>根拠と結果のみを重視する実務・運用にあたっては、これらを削除し、印刷面をシンプルにすることが望ましい。</t>
  </si>
  <si>
    <t>本ツールの操作・メンテナンス担当者の参考資料、引継ぎ資料として利用するときは、別のファイル名で保存し、適宜活用を図る。</t>
  </si>
  <si>
    <t>このデータ（行番号）は、数式実行上の機能のみを目的としており、データ入力作業においては不必要な情報である。</t>
  </si>
  <si>
    <t>変更が無ければ、前月単価を引継ぎ、[条件書式]の設定により文字色が[グレー]になる。</t>
  </si>
  <si>
    <t>変更したときは、[条件書式]の設定により、セルの網掛けが[淡黄色]になる。</t>
  </si>
  <si>
    <t>検針（基礎）データの引用元シート名を記入している。　シート名を変更したときは、これを修正する。</t>
  </si>
  <si>
    <r>
      <t>B列は「表示しない」として、マスクしている。　</t>
    </r>
    <r>
      <rPr>
        <sz val="11"/>
        <color indexed="10"/>
        <rFont val="ＭＳ Ｐゴシック"/>
        <family val="3"/>
      </rPr>
      <t>【原則 手入禁止】</t>
    </r>
  </si>
  <si>
    <r>
      <t>[データ入力]シートのセル[A3]の値を引用しており、これを本シート内の計算式で使用する。　</t>
    </r>
    <r>
      <rPr>
        <sz val="11"/>
        <color indexed="10"/>
        <rFont val="ＭＳ Ｐゴシック"/>
        <family val="3"/>
      </rPr>
      <t>【原則 手入禁止】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</si>
</sst>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m&quot;月&quot;dd&quot;日&quot;"/>
    <numFmt numFmtId="178" formatCode="0_ "/>
    <numFmt numFmtId="179" formatCode="#,##0_ "/>
    <numFmt numFmtId="180" formatCode="0_);[Red]\(0\)"/>
    <numFmt numFmtId="181" formatCode="&quot;【有効行 &quot;0\ &quot;】&quot;"/>
    <numFmt numFmtId="182" formatCode="#,##0_ ;[Red]\-#,##0\ "/>
    <numFmt numFmtId="183" formatCode="yyyy&quot;年&quot;m&quot;月&quot;d&quot;日&quot;;@"/>
    <numFmt numFmtId="184" formatCode="yyyy&quot;年&quot;m&quot;月分&quot;"/>
    <numFmt numFmtId="185" formatCode="&quot;（検針 &quot;m&quot;月&quot;d&quot;日）&quot;"/>
    <numFmt numFmtId="186" formatCode="0.00_ "/>
    <numFmt numFmtId="187" formatCode="&quot;\&quot;#,##0\ ;&quot;\&quot;\-#,##0\ "/>
    <numFmt numFmtId="188" formatCode="#,##0&quot; kWh&quot;"/>
    <numFmt numFmtId="189" formatCode="#,##0&quot; 円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color indexed="12"/>
      <name val="ＭＳ Ｐゴシック"/>
      <family val="3"/>
    </font>
  </fonts>
  <fills count="10">
    <fill>
      <patternFill/>
    </fill>
    <fill>
      <patternFill patternType="gray125"/>
    </fill>
    <fill>
      <patternFill patternType="darkGrid">
        <fgColor indexed="43"/>
      </patternFill>
    </fill>
    <fill>
      <patternFill patternType="darkGrid">
        <fgColor indexed="41"/>
      </patternFill>
    </fill>
    <fill>
      <patternFill patternType="gray125">
        <fgColor indexed="22"/>
      </patternFill>
    </fill>
    <fill>
      <patternFill patternType="darkGrid">
        <fgColor indexed="42"/>
      </patternFill>
    </fill>
    <fill>
      <patternFill patternType="lightGray">
        <fgColor indexed="41"/>
      </patternFill>
    </fill>
    <fill>
      <patternFill patternType="lightUp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 diagonalUp="1">
      <left style="hair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9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Continuous" vertical="center"/>
    </xf>
    <xf numFmtId="0" fontId="0" fillId="3" borderId="8" xfId="0" applyFill="1" applyBorder="1" applyAlignment="1">
      <alignment horizontal="centerContinuous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7" fontId="0" fillId="4" borderId="20" xfId="0" applyNumberFormat="1" applyFill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5" borderId="15" xfId="0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" fontId="3" fillId="4" borderId="25" xfId="0" applyNumberFormat="1" applyFont="1" applyFill="1" applyBorder="1" applyAlignment="1">
      <alignment horizontal="center" vertical="center"/>
    </xf>
    <xf numFmtId="177" fontId="0" fillId="4" borderId="26" xfId="0" applyNumberFormat="1" applyFill="1" applyBorder="1" applyAlignment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179" fontId="0" fillId="4" borderId="9" xfId="0" applyNumberFormat="1" applyFill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Continuous" vertical="center"/>
    </xf>
    <xf numFmtId="0" fontId="0" fillId="5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Continuous" vertical="center"/>
    </xf>
    <xf numFmtId="0" fontId="0" fillId="3" borderId="32" xfId="0" applyFill="1" applyBorder="1" applyAlignment="1">
      <alignment horizontal="centerContinuous" vertical="center"/>
    </xf>
    <xf numFmtId="0" fontId="0" fillId="3" borderId="33" xfId="0" applyFill="1" applyBorder="1" applyAlignment="1">
      <alignment horizontal="centerContinuous" vertical="center"/>
    </xf>
    <xf numFmtId="181" fontId="3" fillId="4" borderId="34" xfId="0" applyNumberFormat="1" applyFont="1" applyFill="1" applyBorder="1" applyAlignment="1">
      <alignment horizontal="center" vertical="center"/>
    </xf>
    <xf numFmtId="179" fontId="0" fillId="4" borderId="35" xfId="0" applyNumberFormat="1" applyFill="1" applyBorder="1" applyAlignment="1">
      <alignment vertical="center"/>
    </xf>
    <xf numFmtId="179" fontId="0" fillId="4" borderId="36" xfId="0" applyNumberForma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5" fillId="0" borderId="0" xfId="0" applyNumberFormat="1" applyFont="1" applyAlignment="1">
      <alignment horizontal="centerContinuous" vertical="center"/>
    </xf>
    <xf numFmtId="185" fontId="4" fillId="0" borderId="0" xfId="0" applyNumberFormat="1" applyFont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0" fontId="3" fillId="4" borderId="39" xfId="0" applyFont="1" applyFill="1" applyBorder="1" applyAlignment="1">
      <alignment horizontal="center" vertical="center"/>
    </xf>
    <xf numFmtId="181" fontId="3" fillId="4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" fontId="0" fillId="0" borderId="40" xfId="0" applyNumberFormat="1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3" fontId="0" fillId="0" borderId="26" xfId="0" applyNumberFormat="1" applyBorder="1" applyAlignment="1">
      <alignment vertical="center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Alignment="1">
      <alignment vertical="top"/>
    </xf>
    <xf numFmtId="189" fontId="0" fillId="0" borderId="47" xfId="0" applyNumberFormat="1" applyBorder="1" applyAlignment="1">
      <alignment vertical="center"/>
    </xf>
    <xf numFmtId="189" fontId="0" fillId="0" borderId="38" xfId="0" applyNumberFormat="1" applyBorder="1" applyAlignment="1">
      <alignment vertical="center"/>
    </xf>
    <xf numFmtId="179" fontId="0" fillId="7" borderId="48" xfId="0" applyNumberFormat="1" applyFill="1" applyBorder="1" applyAlignment="1">
      <alignment vertical="center"/>
    </xf>
    <xf numFmtId="18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8" borderId="49" xfId="0" applyNumberFormat="1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182" fontId="3" fillId="0" borderId="50" xfId="0" applyNumberFormat="1" applyFont="1" applyBorder="1" applyAlignment="1">
      <alignment vertical="center"/>
    </xf>
    <xf numFmtId="182" fontId="3" fillId="0" borderId="51" xfId="0" applyNumberFormat="1" applyFont="1" applyBorder="1" applyAlignment="1">
      <alignment vertical="center"/>
    </xf>
    <xf numFmtId="182" fontId="3" fillId="0" borderId="47" xfId="0" applyNumberFormat="1" applyFont="1" applyBorder="1" applyAlignment="1">
      <alignment vertical="center"/>
    </xf>
    <xf numFmtId="182" fontId="3" fillId="5" borderId="52" xfId="0" applyNumberFormat="1" applyFont="1" applyFill="1" applyBorder="1" applyAlignment="1">
      <alignment vertical="center"/>
    </xf>
    <xf numFmtId="4" fontId="3" fillId="6" borderId="49" xfId="0" applyNumberFormat="1" applyFon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vertical="center"/>
    </xf>
    <xf numFmtId="188" fontId="0" fillId="0" borderId="41" xfId="0" applyNumberFormat="1" applyBorder="1" applyAlignment="1">
      <alignment horizontal="right" vertical="center" indent="2"/>
    </xf>
    <xf numFmtId="188" fontId="0" fillId="0" borderId="53" xfId="0" applyNumberFormat="1" applyBorder="1" applyAlignment="1">
      <alignment horizontal="right" vertical="center" indent="2"/>
    </xf>
    <xf numFmtId="189" fontId="0" fillId="7" borderId="54" xfId="0" applyNumberFormat="1" applyFill="1" applyBorder="1" applyAlignment="1">
      <alignment horizontal="right" vertical="center" indent="2"/>
    </xf>
    <xf numFmtId="189" fontId="0" fillId="7" borderId="52" xfId="0" applyNumberFormat="1" applyFill="1" applyBorder="1" applyAlignment="1">
      <alignment horizontal="right" vertical="center" indent="2"/>
    </xf>
    <xf numFmtId="189" fontId="0" fillId="0" borderId="54" xfId="0" applyNumberFormat="1" applyFill="1" applyBorder="1" applyAlignment="1">
      <alignment horizontal="right" vertical="center" indent="2"/>
    </xf>
    <xf numFmtId="189" fontId="0" fillId="0" borderId="52" xfId="0" applyNumberFormat="1" applyFill="1" applyBorder="1" applyAlignment="1">
      <alignment horizontal="right" vertical="center" indent="2"/>
    </xf>
    <xf numFmtId="189" fontId="0" fillId="0" borderId="41" xfId="0" applyNumberFormat="1" applyBorder="1" applyAlignment="1">
      <alignment horizontal="right" vertical="center" indent="2"/>
    </xf>
    <xf numFmtId="189" fontId="0" fillId="0" borderId="53" xfId="0" applyNumberFormat="1" applyBorder="1" applyAlignment="1">
      <alignment horizontal="right" vertical="center" indent="2"/>
    </xf>
    <xf numFmtId="189" fontId="0" fillId="9" borderId="41" xfId="0" applyNumberFormat="1" applyFill="1" applyBorder="1" applyAlignment="1">
      <alignment horizontal="right" vertical="center" indent="2"/>
    </xf>
    <xf numFmtId="189" fontId="0" fillId="9" borderId="53" xfId="0" applyNumberFormat="1" applyFill="1" applyBorder="1" applyAlignment="1">
      <alignment horizontal="right" vertical="center" indent="2"/>
    </xf>
    <xf numFmtId="188" fontId="0" fillId="0" borderId="52" xfId="0" applyNumberFormat="1" applyBorder="1" applyAlignment="1">
      <alignment horizontal="right" vertical="center" indent="2"/>
    </xf>
    <xf numFmtId="189" fontId="0" fillId="9" borderId="52" xfId="0" applyNumberForma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808080"/>
      </font>
      <border/>
    </dxf>
    <dxf>
      <fill>
        <patternFill>
          <fgColor rgb="FFFFFF99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11</xdr:row>
      <xdr:rowOff>0</xdr:rowOff>
    </xdr:from>
    <xdr:to>
      <xdr:col>5</xdr:col>
      <xdr:colOff>971550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400550" y="3095625"/>
          <a:ext cx="1476375" cy="361950"/>
        </a:xfrm>
        <a:prstGeom prst="wedgeRoundRectCallout">
          <a:avLst>
            <a:gd name="adj1" fmla="val 22259"/>
            <a:gd name="adj2" fmla="val -181578"/>
          </a:avLst>
        </a:prstGeom>
        <a:solidFill>
          <a:srgbClr val="FFFFFF"/>
        </a:solidFill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データ入力シート最下行
の計算値を引用</a:t>
          </a:r>
        </a:p>
      </xdr:txBody>
    </xdr:sp>
    <xdr:clientData/>
  </xdr:twoCellAnchor>
  <xdr:twoCellAnchor>
    <xdr:from>
      <xdr:col>5</xdr:col>
      <xdr:colOff>809625</xdr:colOff>
      <xdr:row>14</xdr:row>
      <xdr:rowOff>9525</xdr:rowOff>
    </xdr:from>
    <xdr:to>
      <xdr:col>6</xdr:col>
      <xdr:colOff>895350</xdr:colOff>
      <xdr:row>15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5715000" y="3619500"/>
          <a:ext cx="1066800" cy="228600"/>
        </a:xfrm>
        <a:prstGeom prst="wedgeRoundRectCallout">
          <a:avLst>
            <a:gd name="adj1" fmla="val 7143"/>
            <a:gd name="adj2" fmla="val -487500"/>
          </a:avLst>
        </a:prstGeom>
        <a:solidFill>
          <a:srgbClr val="FFFFFF"/>
        </a:solidFill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⑧×⑬÷①</a:t>
          </a:r>
        </a:p>
      </xdr:txBody>
    </xdr:sp>
    <xdr:clientData/>
  </xdr:twoCellAnchor>
  <xdr:twoCellAnchor>
    <xdr:from>
      <xdr:col>0</xdr:col>
      <xdr:colOff>38100</xdr:colOff>
      <xdr:row>6</xdr:row>
      <xdr:rowOff>76200</xdr:rowOff>
    </xdr:from>
    <xdr:to>
      <xdr:col>0</xdr:col>
      <xdr:colOff>276225</xdr:colOff>
      <xdr:row>6</xdr:row>
      <xdr:rowOff>257175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100" y="17049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</xdr:col>
      <xdr:colOff>38100</xdr:colOff>
      <xdr:row>6</xdr:row>
      <xdr:rowOff>76200</xdr:rowOff>
    </xdr:from>
    <xdr:to>
      <xdr:col>1</xdr:col>
      <xdr:colOff>276225</xdr:colOff>
      <xdr:row>6</xdr:row>
      <xdr:rowOff>257175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019175" y="17049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</xdr:col>
      <xdr:colOff>28575</xdr:colOff>
      <xdr:row>6</xdr:row>
      <xdr:rowOff>76200</xdr:rowOff>
    </xdr:from>
    <xdr:to>
      <xdr:col>2</xdr:col>
      <xdr:colOff>266700</xdr:colOff>
      <xdr:row>6</xdr:row>
      <xdr:rowOff>257175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990725" y="17049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</xdr:col>
      <xdr:colOff>38100</xdr:colOff>
      <xdr:row>6</xdr:row>
      <xdr:rowOff>85725</xdr:rowOff>
    </xdr:from>
    <xdr:to>
      <xdr:col>3</xdr:col>
      <xdr:colOff>276225</xdr:colOff>
      <xdr:row>6</xdr:row>
      <xdr:rowOff>266700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2981325" y="17145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5</xdr:row>
      <xdr:rowOff>200025</xdr:rowOff>
    </xdr:from>
    <xdr:to>
      <xdr:col>4</xdr:col>
      <xdr:colOff>257175</xdr:colOff>
      <xdr:row>6</xdr:row>
      <xdr:rowOff>171450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3943350" y="16192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</xdr:col>
      <xdr:colOff>95250</xdr:colOff>
      <xdr:row>13</xdr:row>
      <xdr:rowOff>161925</xdr:rowOff>
    </xdr:from>
    <xdr:to>
      <xdr:col>3</xdr:col>
      <xdr:colOff>333375</xdr:colOff>
      <xdr:row>15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3038475" y="36004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5</xdr:col>
      <xdr:colOff>19050</xdr:colOff>
      <xdr:row>5</xdr:row>
      <xdr:rowOff>200025</xdr:rowOff>
    </xdr:from>
    <xdr:to>
      <xdr:col>5</xdr:col>
      <xdr:colOff>257175</xdr:colOff>
      <xdr:row>6</xdr:row>
      <xdr:rowOff>171450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924425" y="16192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</xdr:col>
      <xdr:colOff>666750</xdr:colOff>
      <xdr:row>7</xdr:row>
      <xdr:rowOff>76200</xdr:rowOff>
    </xdr:from>
    <xdr:to>
      <xdr:col>2</xdr:col>
      <xdr:colOff>904875</xdr:colOff>
      <xdr:row>7</xdr:row>
      <xdr:rowOff>257175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2628900" y="20478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4</xdr:col>
      <xdr:colOff>971550</xdr:colOff>
      <xdr:row>6</xdr:row>
      <xdr:rowOff>171450</xdr:rowOff>
    </xdr:from>
    <xdr:to>
      <xdr:col>5</xdr:col>
      <xdr:colOff>447675</xdr:colOff>
      <xdr:row>7</xdr:row>
      <xdr:rowOff>57150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895850" y="18002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③+⑤</a:t>
          </a:r>
        </a:p>
      </xdr:txBody>
    </xdr:sp>
    <xdr:clientData/>
  </xdr:twoCellAnchor>
  <xdr:twoCellAnchor>
    <xdr:from>
      <xdr:col>1</xdr:col>
      <xdr:colOff>152400</xdr:colOff>
      <xdr:row>14</xdr:row>
      <xdr:rowOff>161925</xdr:rowOff>
    </xdr:from>
    <xdr:to>
      <xdr:col>1</xdr:col>
      <xdr:colOff>390525</xdr:colOff>
      <xdr:row>16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133475" y="37719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2</xdr:col>
      <xdr:colOff>666750</xdr:colOff>
      <xdr:row>8</xdr:row>
      <xdr:rowOff>76200</xdr:rowOff>
    </xdr:from>
    <xdr:to>
      <xdr:col>2</xdr:col>
      <xdr:colOff>904875</xdr:colOff>
      <xdr:row>8</xdr:row>
      <xdr:rowOff>257175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2628900" y="23907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</xdr:col>
      <xdr:colOff>9525</xdr:colOff>
      <xdr:row>7</xdr:row>
      <xdr:rowOff>333375</xdr:rowOff>
    </xdr:from>
    <xdr:to>
      <xdr:col>1</xdr:col>
      <xdr:colOff>628650</xdr:colOff>
      <xdr:row>9</xdr:row>
      <xdr:rowOff>38100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990600" y="2305050"/>
          <a:ext cx="619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②+⑥
=⑦+⑤</a:t>
          </a:r>
        </a:p>
      </xdr:txBody>
    </xdr:sp>
    <xdr:clientData/>
  </xdr:twoCellAnchor>
  <xdr:twoCellAnchor>
    <xdr:from>
      <xdr:col>4</xdr:col>
      <xdr:colOff>0</xdr:colOff>
      <xdr:row>6</xdr:row>
      <xdr:rowOff>171450</xdr:rowOff>
    </xdr:from>
    <xdr:to>
      <xdr:col>4</xdr:col>
      <xdr:colOff>571500</xdr:colOff>
      <xdr:row>7</xdr:row>
      <xdr:rowOff>57150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924300" y="1800225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④×⑨</a:t>
          </a:r>
        </a:p>
      </xdr:txBody>
    </xdr:sp>
    <xdr:clientData/>
  </xdr:twoCellAnchor>
  <xdr:twoCellAnchor>
    <xdr:from>
      <xdr:col>1</xdr:col>
      <xdr:colOff>152400</xdr:colOff>
      <xdr:row>16</xdr:row>
      <xdr:rowOff>0</xdr:rowOff>
    </xdr:from>
    <xdr:to>
      <xdr:col>1</xdr:col>
      <xdr:colOff>390525</xdr:colOff>
      <xdr:row>17</xdr:row>
      <xdr:rowOff>9525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133475" y="39528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1</xdr:col>
      <xdr:colOff>123825</xdr:colOff>
      <xdr:row>16</xdr:row>
      <xdr:rowOff>161925</xdr:rowOff>
    </xdr:from>
    <xdr:to>
      <xdr:col>1</xdr:col>
      <xdr:colOff>581025</xdr:colOff>
      <xdr:row>18</xdr:row>
      <xdr:rowOff>47625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104900" y="41148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⑪-⑤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3</xdr:col>
      <xdr:colOff>333375</xdr:colOff>
      <xdr:row>17</xdr:row>
      <xdr:rowOff>9525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3038475" y="39528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</xdr:col>
      <xdr:colOff>647700</xdr:colOff>
      <xdr:row>18</xdr:row>
      <xdr:rowOff>38100</xdr:rowOff>
    </xdr:from>
    <xdr:to>
      <xdr:col>3</xdr:col>
      <xdr:colOff>685800</xdr:colOff>
      <xdr:row>19</xdr:row>
      <xdr:rowOff>95250</xdr:rowOff>
    </xdr:to>
    <xdr:sp>
      <xdr:nvSpPr>
        <xdr:cNvPr id="19" name="AutoShape 22"/>
        <xdr:cNvSpPr>
          <a:spLocks/>
        </xdr:cNvSpPr>
      </xdr:nvSpPr>
      <xdr:spPr>
        <a:xfrm>
          <a:off x="2609850" y="4333875"/>
          <a:ext cx="1019175" cy="228600"/>
        </a:xfrm>
        <a:prstGeom prst="wedgeRoundRectCallout">
          <a:avLst>
            <a:gd name="adj1" fmla="val -49064"/>
            <a:gd name="adj2" fmla="val -158333"/>
          </a:avLst>
        </a:prstGeom>
        <a:solidFill>
          <a:srgbClr val="FFFFFF"/>
        </a:solidFill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⑧×⑩÷①</a:t>
          </a:r>
        </a:p>
      </xdr:txBody>
    </xdr:sp>
    <xdr:clientData/>
  </xdr:twoCellAnchor>
  <xdr:twoCellAnchor>
    <xdr:from>
      <xdr:col>2</xdr:col>
      <xdr:colOff>504825</xdr:colOff>
      <xdr:row>27</xdr:row>
      <xdr:rowOff>66675</xdr:rowOff>
    </xdr:from>
    <xdr:to>
      <xdr:col>3</xdr:col>
      <xdr:colOff>600075</xdr:colOff>
      <xdr:row>28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2466975" y="5905500"/>
          <a:ext cx="1076325" cy="228600"/>
        </a:xfrm>
        <a:prstGeom prst="wedgeRoundRectCallout">
          <a:avLst>
            <a:gd name="adj1" fmla="val -35842"/>
            <a:gd name="adj2" fmla="val -108333"/>
          </a:avLst>
        </a:prstGeom>
        <a:solidFill>
          <a:srgbClr val="FFFFFF"/>
        </a:solidFill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⑧×⑫÷①</a:t>
          </a:r>
        </a:p>
      </xdr:txBody>
    </xdr:sp>
    <xdr:clientData/>
  </xdr:twoCellAnchor>
  <xdr:twoCellAnchor>
    <xdr:from>
      <xdr:col>1</xdr:col>
      <xdr:colOff>152400</xdr:colOff>
      <xdr:row>24</xdr:row>
      <xdr:rowOff>161925</xdr:rowOff>
    </xdr:from>
    <xdr:to>
      <xdr:col>1</xdr:col>
      <xdr:colOff>390525</xdr:colOff>
      <xdr:row>26</xdr:row>
      <xdr:rowOff>0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1133475" y="54864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5</xdr:col>
      <xdr:colOff>76200</xdr:colOff>
      <xdr:row>8</xdr:row>
      <xdr:rowOff>85725</xdr:rowOff>
    </xdr:from>
    <xdr:to>
      <xdr:col>5</xdr:col>
      <xdr:colOff>314325</xdr:colOff>
      <xdr:row>8</xdr:row>
      <xdr:rowOff>266700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4981575" y="24003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44" sqref="L44"/>
    </sheetView>
  </sheetViews>
  <sheetFormatPr defaultColWidth="9.00390625" defaultRowHeight="13.5"/>
  <cols>
    <col min="1" max="1" width="16.125" style="1" customWidth="1"/>
    <col min="2" max="2" width="6.50390625" style="1" hidden="1" customWidth="1"/>
    <col min="3" max="3" width="9.25390625" style="1" customWidth="1"/>
    <col min="4" max="5" width="10.625" style="1" customWidth="1"/>
    <col min="6" max="19" width="9.00390625" style="1" customWidth="1"/>
    <col min="20" max="20" width="9.625" style="1" customWidth="1"/>
    <col min="21" max="16384" width="9.00390625" style="1" customWidth="1"/>
  </cols>
  <sheetData>
    <row r="1" spans="1:20" ht="16.5" customHeight="1">
      <c r="A1" s="21" t="s">
        <v>6</v>
      </c>
      <c r="B1" s="30" t="s">
        <v>19</v>
      </c>
      <c r="C1" s="15" t="s">
        <v>0</v>
      </c>
      <c r="D1" s="16"/>
      <c r="E1" s="17"/>
      <c r="F1" s="9" t="s">
        <v>43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29" t="s">
        <v>16</v>
      </c>
      <c r="T1" s="51" t="s">
        <v>10</v>
      </c>
    </row>
    <row r="2" spans="1:20" s="3" customFormat="1" ht="16.5" customHeight="1">
      <c r="A2" s="22" t="s">
        <v>7</v>
      </c>
      <c r="B2" s="31" t="s">
        <v>20</v>
      </c>
      <c r="C2" s="18" t="s">
        <v>1</v>
      </c>
      <c r="D2" s="2" t="s">
        <v>3</v>
      </c>
      <c r="E2" s="7" t="s">
        <v>4</v>
      </c>
      <c r="F2" s="43" t="s">
        <v>50</v>
      </c>
      <c r="G2" s="44"/>
      <c r="H2" s="45"/>
      <c r="I2" s="43" t="s">
        <v>11</v>
      </c>
      <c r="J2" s="45"/>
      <c r="K2" s="43" t="s">
        <v>12</v>
      </c>
      <c r="L2" s="45"/>
      <c r="M2" s="43" t="s">
        <v>13</v>
      </c>
      <c r="N2" s="45"/>
      <c r="O2" s="43" t="s">
        <v>14</v>
      </c>
      <c r="P2" s="45"/>
      <c r="Q2" s="43" t="s">
        <v>15</v>
      </c>
      <c r="R2" s="45"/>
      <c r="S2" s="41" t="s">
        <v>17</v>
      </c>
      <c r="T2" s="52" t="s">
        <v>22</v>
      </c>
    </row>
    <row r="3" spans="1:20" s="3" customFormat="1" ht="16.5" customHeight="1">
      <c r="A3" s="46">
        <f>MIN(B3:B32)</f>
        <v>32</v>
      </c>
      <c r="B3" s="32"/>
      <c r="C3" s="19" t="s">
        <v>2</v>
      </c>
      <c r="D3" s="20" t="s">
        <v>5</v>
      </c>
      <c r="E3" s="40" t="s">
        <v>5</v>
      </c>
      <c r="F3" s="12" t="s">
        <v>8</v>
      </c>
      <c r="G3" s="13" t="s">
        <v>9</v>
      </c>
      <c r="H3" s="14" t="s">
        <v>10</v>
      </c>
      <c r="I3" s="12" t="s">
        <v>8</v>
      </c>
      <c r="J3" s="14" t="s">
        <v>9</v>
      </c>
      <c r="K3" s="12" t="s">
        <v>8</v>
      </c>
      <c r="L3" s="14" t="s">
        <v>9</v>
      </c>
      <c r="M3" s="12" t="s">
        <v>8</v>
      </c>
      <c r="N3" s="14" t="s">
        <v>9</v>
      </c>
      <c r="O3" s="12" t="s">
        <v>8</v>
      </c>
      <c r="P3" s="14" t="s">
        <v>9</v>
      </c>
      <c r="Q3" s="12" t="s">
        <v>8</v>
      </c>
      <c r="R3" s="14" t="s">
        <v>9</v>
      </c>
      <c r="S3" s="42" t="s">
        <v>18</v>
      </c>
      <c r="T3" s="53" t="s">
        <v>23</v>
      </c>
    </row>
    <row r="4" spans="1:20" ht="12.75" customHeight="1">
      <c r="A4" s="26">
        <f>EOMONTH(A5,0)+1</f>
        <v>42856</v>
      </c>
      <c r="B4" s="33">
        <f>IF(C4="","",ROW(C4))</f>
      </c>
      <c r="C4" s="25"/>
      <c r="D4" s="6"/>
      <c r="E4" s="23"/>
      <c r="F4" s="25"/>
      <c r="G4" s="5"/>
      <c r="H4" s="28"/>
      <c r="I4" s="25"/>
      <c r="J4" s="28"/>
      <c r="K4" s="25"/>
      <c r="L4" s="28"/>
      <c r="M4" s="25"/>
      <c r="N4" s="28"/>
      <c r="O4" s="25"/>
      <c r="P4" s="28"/>
      <c r="Q4" s="25"/>
      <c r="R4" s="28"/>
      <c r="S4" s="47"/>
      <c r="T4" s="54">
        <f aca="true" t="shared" si="0" ref="T4:T31">T5</f>
        <v>3.62</v>
      </c>
    </row>
    <row r="5" spans="1:20" ht="12.75" customHeight="1">
      <c r="A5" s="26">
        <f>EOMONTH(A6,0)+1</f>
        <v>42826</v>
      </c>
      <c r="B5" s="33">
        <f aca="true" t="shared" si="1" ref="B5:B12">IF(C5="","",ROW(C5))</f>
      </c>
      <c r="C5" s="25"/>
      <c r="D5" s="6"/>
      <c r="E5" s="23"/>
      <c r="F5" s="25"/>
      <c r="G5" s="5"/>
      <c r="H5" s="28"/>
      <c r="I5" s="25"/>
      <c r="J5" s="28"/>
      <c r="K5" s="25"/>
      <c r="L5" s="28"/>
      <c r="M5" s="25"/>
      <c r="N5" s="28"/>
      <c r="O5" s="25"/>
      <c r="P5" s="28"/>
      <c r="Q5" s="25"/>
      <c r="R5" s="28"/>
      <c r="S5" s="47"/>
      <c r="T5" s="54">
        <f t="shared" si="0"/>
        <v>3.62</v>
      </c>
    </row>
    <row r="6" spans="1:20" ht="12.75" customHeight="1">
      <c r="A6" s="26">
        <f>EOMONTH(A7,0)+1</f>
        <v>42795</v>
      </c>
      <c r="B6" s="33">
        <f t="shared" si="1"/>
      </c>
      <c r="C6" s="25"/>
      <c r="D6" s="6"/>
      <c r="E6" s="23"/>
      <c r="F6" s="25"/>
      <c r="G6" s="5"/>
      <c r="H6" s="28"/>
      <c r="I6" s="25"/>
      <c r="J6" s="28"/>
      <c r="K6" s="25"/>
      <c r="L6" s="28"/>
      <c r="M6" s="25"/>
      <c r="N6" s="28"/>
      <c r="O6" s="25"/>
      <c r="P6" s="28"/>
      <c r="Q6" s="25"/>
      <c r="R6" s="28"/>
      <c r="S6" s="47"/>
      <c r="T6" s="54">
        <f t="shared" si="0"/>
        <v>3.62</v>
      </c>
    </row>
    <row r="7" spans="1:20" ht="12.75" customHeight="1">
      <c r="A7" s="26">
        <f>EOMONTH(A8,0)+1</f>
        <v>42767</v>
      </c>
      <c r="B7" s="33">
        <f t="shared" si="1"/>
      </c>
      <c r="C7" s="25"/>
      <c r="D7" s="6"/>
      <c r="E7" s="23"/>
      <c r="F7" s="25"/>
      <c r="G7" s="5"/>
      <c r="H7" s="28"/>
      <c r="I7" s="25"/>
      <c r="J7" s="28"/>
      <c r="K7" s="25"/>
      <c r="L7" s="28"/>
      <c r="M7" s="25"/>
      <c r="N7" s="28"/>
      <c r="O7" s="25"/>
      <c r="P7" s="28"/>
      <c r="Q7" s="25"/>
      <c r="R7" s="28"/>
      <c r="S7" s="47"/>
      <c r="T7" s="54">
        <f t="shared" si="0"/>
        <v>3.62</v>
      </c>
    </row>
    <row r="8" spans="1:20" ht="12.75" customHeight="1">
      <c r="A8" s="26">
        <f>EOMONTH(A9,0)+1</f>
        <v>42736</v>
      </c>
      <c r="B8" s="33">
        <f t="shared" si="1"/>
      </c>
      <c r="C8" s="25"/>
      <c r="D8" s="6"/>
      <c r="E8" s="23"/>
      <c r="F8" s="25"/>
      <c r="G8" s="5"/>
      <c r="H8" s="28"/>
      <c r="I8" s="25"/>
      <c r="J8" s="28"/>
      <c r="K8" s="25"/>
      <c r="L8" s="28"/>
      <c r="M8" s="25"/>
      <c r="N8" s="28"/>
      <c r="O8" s="25"/>
      <c r="P8" s="28"/>
      <c r="Q8" s="25"/>
      <c r="R8" s="28"/>
      <c r="S8" s="47"/>
      <c r="T8" s="54">
        <f t="shared" si="0"/>
        <v>3.62</v>
      </c>
    </row>
    <row r="9" spans="1:20" ht="12.75" customHeight="1">
      <c r="A9" s="26">
        <f>EOMONTH(A10,0)+1</f>
        <v>42705</v>
      </c>
      <c r="B9" s="33">
        <f t="shared" si="1"/>
      </c>
      <c r="C9" s="25"/>
      <c r="D9" s="6"/>
      <c r="E9" s="23"/>
      <c r="F9" s="25"/>
      <c r="G9" s="5"/>
      <c r="H9" s="28"/>
      <c r="I9" s="25"/>
      <c r="J9" s="28"/>
      <c r="K9" s="25"/>
      <c r="L9" s="28"/>
      <c r="M9" s="25"/>
      <c r="N9" s="28"/>
      <c r="O9" s="25"/>
      <c r="P9" s="28"/>
      <c r="Q9" s="25"/>
      <c r="R9" s="28"/>
      <c r="S9" s="47"/>
      <c r="T9" s="54">
        <f t="shared" si="0"/>
        <v>3.62</v>
      </c>
    </row>
    <row r="10" spans="1:20" ht="12.75" customHeight="1">
      <c r="A10" s="100">
        <f>EOMONTH(A11,0)+1</f>
        <v>42675</v>
      </c>
      <c r="B10" s="33">
        <f t="shared" si="1"/>
      </c>
      <c r="C10" s="25"/>
      <c r="D10" s="6"/>
      <c r="E10" s="23"/>
      <c r="F10" s="25"/>
      <c r="G10" s="5"/>
      <c r="H10" s="28"/>
      <c r="I10" s="25"/>
      <c r="J10" s="28"/>
      <c r="K10" s="25"/>
      <c r="L10" s="28"/>
      <c r="M10" s="25"/>
      <c r="N10" s="28"/>
      <c r="O10" s="25"/>
      <c r="P10" s="28"/>
      <c r="Q10" s="25"/>
      <c r="R10" s="28"/>
      <c r="S10" s="47"/>
      <c r="T10" s="54">
        <f t="shared" si="0"/>
        <v>3.62</v>
      </c>
    </row>
    <row r="11" spans="1:20" ht="12.75" customHeight="1">
      <c r="A11" s="100">
        <f>EOMONTH(A12,0)+1</f>
        <v>42644</v>
      </c>
      <c r="B11" s="33">
        <f t="shared" si="1"/>
      </c>
      <c r="C11" s="25"/>
      <c r="D11" s="6"/>
      <c r="E11" s="23"/>
      <c r="F11" s="25"/>
      <c r="G11" s="5"/>
      <c r="H11" s="28"/>
      <c r="I11" s="25"/>
      <c r="J11" s="28"/>
      <c r="K11" s="25"/>
      <c r="L11" s="28"/>
      <c r="M11" s="25"/>
      <c r="N11" s="28"/>
      <c r="O11" s="25"/>
      <c r="P11" s="28"/>
      <c r="Q11" s="25"/>
      <c r="R11" s="28"/>
      <c r="S11" s="47"/>
      <c r="T11" s="54">
        <f t="shared" si="0"/>
        <v>3.62</v>
      </c>
    </row>
    <row r="12" spans="1:20" ht="12.75" customHeight="1">
      <c r="A12" s="100">
        <f>EOMONTH(A13,0)+1</f>
        <v>42614</v>
      </c>
      <c r="B12" s="33">
        <f t="shared" si="1"/>
      </c>
      <c r="C12" s="25"/>
      <c r="D12" s="6"/>
      <c r="E12" s="23"/>
      <c r="F12" s="25"/>
      <c r="G12" s="5"/>
      <c r="H12" s="28"/>
      <c r="I12" s="25"/>
      <c r="J12" s="28"/>
      <c r="K12" s="25"/>
      <c r="L12" s="28"/>
      <c r="M12" s="25"/>
      <c r="N12" s="28"/>
      <c r="O12" s="25"/>
      <c r="P12" s="28"/>
      <c r="Q12" s="25"/>
      <c r="R12" s="28"/>
      <c r="S12" s="47"/>
      <c r="T12" s="54">
        <f t="shared" si="0"/>
        <v>3.62</v>
      </c>
    </row>
    <row r="13" spans="1:20" ht="12.75" customHeight="1">
      <c r="A13" s="100">
        <f>EOMONTH(A14,0)+1</f>
        <v>42583</v>
      </c>
      <c r="B13" s="33">
        <f>IF(C13="","",ROW(C13))</f>
      </c>
      <c r="C13" s="25"/>
      <c r="D13" s="6"/>
      <c r="E13" s="23"/>
      <c r="F13" s="25"/>
      <c r="G13" s="5"/>
      <c r="H13" s="28"/>
      <c r="I13" s="25"/>
      <c r="J13" s="28"/>
      <c r="K13" s="25"/>
      <c r="L13" s="28"/>
      <c r="M13" s="25"/>
      <c r="N13" s="28"/>
      <c r="O13" s="25"/>
      <c r="P13" s="28"/>
      <c r="Q13" s="25"/>
      <c r="R13" s="28"/>
      <c r="S13" s="47"/>
      <c r="T13" s="54">
        <f t="shared" si="0"/>
        <v>3.62</v>
      </c>
    </row>
    <row r="14" spans="1:20" ht="12.75" customHeight="1">
      <c r="A14" s="100">
        <f>EOMONTH(A15,0)+1</f>
        <v>42552</v>
      </c>
      <c r="B14" s="33">
        <f aca="true" t="shared" si="2" ref="B14:B32">IF(C14="","",ROW(C14))</f>
      </c>
      <c r="C14" s="25"/>
      <c r="D14" s="6"/>
      <c r="E14" s="23"/>
      <c r="F14" s="25"/>
      <c r="G14" s="5"/>
      <c r="H14" s="28"/>
      <c r="I14" s="25"/>
      <c r="J14" s="28"/>
      <c r="K14" s="25"/>
      <c r="L14" s="28"/>
      <c r="M14" s="25"/>
      <c r="N14" s="28"/>
      <c r="O14" s="25"/>
      <c r="P14" s="28"/>
      <c r="Q14" s="25"/>
      <c r="R14" s="28"/>
      <c r="S14" s="47"/>
      <c r="T14" s="54">
        <f t="shared" si="0"/>
        <v>3.62</v>
      </c>
    </row>
    <row r="15" spans="1:20" ht="12.75" customHeight="1">
      <c r="A15" s="100">
        <f>EOMONTH(A16,0)+1</f>
        <v>42522</v>
      </c>
      <c r="B15" s="33">
        <f t="shared" si="2"/>
      </c>
      <c r="C15" s="25"/>
      <c r="D15" s="6"/>
      <c r="E15" s="23"/>
      <c r="F15" s="25"/>
      <c r="G15" s="5"/>
      <c r="H15" s="28"/>
      <c r="I15" s="25"/>
      <c r="J15" s="28"/>
      <c r="K15" s="25"/>
      <c r="L15" s="28"/>
      <c r="M15" s="25"/>
      <c r="N15" s="28"/>
      <c r="O15" s="25"/>
      <c r="P15" s="28"/>
      <c r="Q15" s="25"/>
      <c r="R15" s="28"/>
      <c r="S15" s="47"/>
      <c r="T15" s="54">
        <f t="shared" si="0"/>
        <v>3.62</v>
      </c>
    </row>
    <row r="16" spans="1:20" ht="12.75" customHeight="1">
      <c r="A16" s="100">
        <f>EOMONTH(A17,0)+1</f>
        <v>42491</v>
      </c>
      <c r="B16" s="33">
        <f t="shared" si="2"/>
      </c>
      <c r="C16" s="25"/>
      <c r="D16" s="6"/>
      <c r="E16" s="23"/>
      <c r="F16" s="25"/>
      <c r="G16" s="5"/>
      <c r="H16" s="28"/>
      <c r="I16" s="25"/>
      <c r="J16" s="28"/>
      <c r="K16" s="25"/>
      <c r="L16" s="28"/>
      <c r="M16" s="25"/>
      <c r="N16" s="28"/>
      <c r="O16" s="25"/>
      <c r="P16" s="28"/>
      <c r="Q16" s="25"/>
      <c r="R16" s="28"/>
      <c r="S16" s="47"/>
      <c r="T16" s="54">
        <f t="shared" si="0"/>
        <v>3.62</v>
      </c>
    </row>
    <row r="17" spans="1:20" ht="12.75" customHeight="1">
      <c r="A17" s="100">
        <f>EOMONTH(A18,0)+1</f>
        <v>42461</v>
      </c>
      <c r="B17" s="33">
        <f t="shared" si="2"/>
      </c>
      <c r="C17" s="25"/>
      <c r="D17" s="6"/>
      <c r="E17" s="23"/>
      <c r="F17" s="25"/>
      <c r="G17" s="5"/>
      <c r="H17" s="28"/>
      <c r="I17" s="25"/>
      <c r="J17" s="28"/>
      <c r="K17" s="25"/>
      <c r="L17" s="28"/>
      <c r="M17" s="25"/>
      <c r="N17" s="28"/>
      <c r="O17" s="25"/>
      <c r="P17" s="28"/>
      <c r="Q17" s="25"/>
      <c r="R17" s="28"/>
      <c r="S17" s="47"/>
      <c r="T17" s="54">
        <f t="shared" si="0"/>
        <v>3.62</v>
      </c>
    </row>
    <row r="18" spans="1:20" ht="12.75" customHeight="1">
      <c r="A18" s="100">
        <f>EOMONTH(A19,0)+1</f>
        <v>42430</v>
      </c>
      <c r="B18" s="33">
        <f t="shared" si="2"/>
      </c>
      <c r="C18" s="25"/>
      <c r="D18" s="6"/>
      <c r="E18" s="23"/>
      <c r="F18" s="25"/>
      <c r="G18" s="5"/>
      <c r="H18" s="28"/>
      <c r="I18" s="25"/>
      <c r="J18" s="28"/>
      <c r="K18" s="25"/>
      <c r="L18" s="28"/>
      <c r="M18" s="25"/>
      <c r="N18" s="28"/>
      <c r="O18" s="25"/>
      <c r="P18" s="28"/>
      <c r="Q18" s="25"/>
      <c r="R18" s="28"/>
      <c r="S18" s="47"/>
      <c r="T18" s="54">
        <f t="shared" si="0"/>
        <v>3.62</v>
      </c>
    </row>
    <row r="19" spans="1:20" ht="12.75" customHeight="1">
      <c r="A19" s="100">
        <f>EOMONTH(A20,0)+1</f>
        <v>42401</v>
      </c>
      <c r="B19" s="33">
        <f t="shared" si="2"/>
      </c>
      <c r="C19" s="25"/>
      <c r="D19" s="6"/>
      <c r="E19" s="23"/>
      <c r="F19" s="25"/>
      <c r="G19" s="5"/>
      <c r="H19" s="28"/>
      <c r="I19" s="25"/>
      <c r="J19" s="28"/>
      <c r="K19" s="25"/>
      <c r="L19" s="28"/>
      <c r="M19" s="25"/>
      <c r="N19" s="28"/>
      <c r="O19" s="25"/>
      <c r="P19" s="28"/>
      <c r="Q19" s="25"/>
      <c r="R19" s="28"/>
      <c r="S19" s="47"/>
      <c r="T19" s="54">
        <f t="shared" si="0"/>
        <v>3.62</v>
      </c>
    </row>
    <row r="20" spans="1:20" ht="12.75" customHeight="1">
      <c r="A20" s="100">
        <f>EOMONTH(A21,0)+1</f>
        <v>42370</v>
      </c>
      <c r="B20" s="33">
        <f t="shared" si="2"/>
      </c>
      <c r="C20" s="25"/>
      <c r="D20" s="6"/>
      <c r="E20" s="23"/>
      <c r="F20" s="25"/>
      <c r="G20" s="5"/>
      <c r="H20" s="28"/>
      <c r="I20" s="25"/>
      <c r="J20" s="28"/>
      <c r="K20" s="25"/>
      <c r="L20" s="28"/>
      <c r="M20" s="25"/>
      <c r="N20" s="28"/>
      <c r="O20" s="25"/>
      <c r="P20" s="28"/>
      <c r="Q20" s="25"/>
      <c r="R20" s="28"/>
      <c r="S20" s="47"/>
      <c r="T20" s="54">
        <f t="shared" si="0"/>
        <v>3.62</v>
      </c>
    </row>
    <row r="21" spans="1:20" ht="12.75" customHeight="1">
      <c r="A21" s="100">
        <f>EOMONTH(A22,0)+1</f>
        <v>42339</v>
      </c>
      <c r="B21" s="33">
        <f t="shared" si="2"/>
      </c>
      <c r="C21" s="25"/>
      <c r="D21" s="6"/>
      <c r="E21" s="23"/>
      <c r="F21" s="25"/>
      <c r="G21" s="5"/>
      <c r="H21" s="28"/>
      <c r="I21" s="25"/>
      <c r="J21" s="28"/>
      <c r="K21" s="25"/>
      <c r="L21" s="28"/>
      <c r="M21" s="25"/>
      <c r="N21" s="28"/>
      <c r="O21" s="25"/>
      <c r="P21" s="28"/>
      <c r="Q21" s="25"/>
      <c r="R21" s="28"/>
      <c r="S21" s="47"/>
      <c r="T21" s="54">
        <f t="shared" si="0"/>
        <v>3.62</v>
      </c>
    </row>
    <row r="22" spans="1:20" ht="12.75" customHeight="1">
      <c r="A22" s="100">
        <f>EOMONTH(A23,0)+1</f>
        <v>42309</v>
      </c>
      <c r="B22" s="33">
        <f t="shared" si="2"/>
      </c>
      <c r="C22" s="25"/>
      <c r="D22" s="6"/>
      <c r="E22" s="23"/>
      <c r="F22" s="25"/>
      <c r="G22" s="5"/>
      <c r="H22" s="28"/>
      <c r="I22" s="25"/>
      <c r="J22" s="28"/>
      <c r="K22" s="25"/>
      <c r="L22" s="28"/>
      <c r="M22" s="25"/>
      <c r="N22" s="28"/>
      <c r="O22" s="25"/>
      <c r="P22" s="28"/>
      <c r="Q22" s="25"/>
      <c r="R22" s="28"/>
      <c r="S22" s="47"/>
      <c r="T22" s="54">
        <f t="shared" si="0"/>
        <v>3.62</v>
      </c>
    </row>
    <row r="23" spans="1:20" ht="13.5">
      <c r="A23" s="100">
        <f>EOMONTH(A24,0)+1</f>
        <v>42278</v>
      </c>
      <c r="B23" s="33">
        <f t="shared" si="2"/>
      </c>
      <c r="C23" s="25"/>
      <c r="D23" s="6"/>
      <c r="E23" s="23"/>
      <c r="F23" s="25"/>
      <c r="G23" s="5"/>
      <c r="H23" s="28"/>
      <c r="I23" s="25"/>
      <c r="J23" s="28"/>
      <c r="K23" s="25"/>
      <c r="L23" s="28"/>
      <c r="M23" s="25"/>
      <c r="N23" s="28"/>
      <c r="O23" s="25"/>
      <c r="P23" s="28"/>
      <c r="Q23" s="25"/>
      <c r="R23" s="28"/>
      <c r="S23" s="47"/>
      <c r="T23" s="54">
        <f t="shared" si="0"/>
        <v>3.62</v>
      </c>
    </row>
    <row r="24" spans="1:20" ht="13.5">
      <c r="A24" s="100">
        <f>EOMONTH(A25,0)+1</f>
        <v>42248</v>
      </c>
      <c r="B24" s="33">
        <f t="shared" si="2"/>
      </c>
      <c r="C24" s="25"/>
      <c r="D24" s="6"/>
      <c r="E24" s="23"/>
      <c r="F24" s="25"/>
      <c r="G24" s="5"/>
      <c r="H24" s="28"/>
      <c r="I24" s="25"/>
      <c r="J24" s="28"/>
      <c r="K24" s="25"/>
      <c r="L24" s="28"/>
      <c r="M24" s="25"/>
      <c r="N24" s="28"/>
      <c r="O24" s="25"/>
      <c r="P24" s="28"/>
      <c r="Q24" s="25"/>
      <c r="R24" s="28"/>
      <c r="S24" s="47"/>
      <c r="T24" s="54">
        <f t="shared" si="0"/>
        <v>3.62</v>
      </c>
    </row>
    <row r="25" spans="1:20" ht="13.5">
      <c r="A25" s="100">
        <f>EOMONTH(A26,0)+1</f>
        <v>42217</v>
      </c>
      <c r="B25" s="33">
        <f t="shared" si="2"/>
      </c>
      <c r="C25" s="25"/>
      <c r="D25" s="6"/>
      <c r="E25" s="23"/>
      <c r="F25" s="25"/>
      <c r="G25" s="5"/>
      <c r="H25" s="28"/>
      <c r="I25" s="25"/>
      <c r="J25" s="28"/>
      <c r="K25" s="25"/>
      <c r="L25" s="28"/>
      <c r="M25" s="25"/>
      <c r="N25" s="28"/>
      <c r="O25" s="25"/>
      <c r="P25" s="28"/>
      <c r="Q25" s="25"/>
      <c r="R25" s="28"/>
      <c r="S25" s="47"/>
      <c r="T25" s="54">
        <f t="shared" si="0"/>
        <v>3.62</v>
      </c>
    </row>
    <row r="26" spans="1:20" ht="13.5">
      <c r="A26" s="100">
        <f>EOMONTH(A27,0)+1</f>
        <v>42186</v>
      </c>
      <c r="B26" s="33">
        <f t="shared" si="2"/>
      </c>
      <c r="C26" s="25"/>
      <c r="D26" s="6"/>
      <c r="E26" s="23"/>
      <c r="F26" s="25"/>
      <c r="G26" s="5"/>
      <c r="H26" s="28"/>
      <c r="I26" s="25"/>
      <c r="J26" s="28"/>
      <c r="K26" s="25"/>
      <c r="L26" s="28"/>
      <c r="M26" s="25"/>
      <c r="N26" s="28"/>
      <c r="O26" s="25"/>
      <c r="P26" s="28"/>
      <c r="Q26" s="25"/>
      <c r="R26" s="28"/>
      <c r="S26" s="47"/>
      <c r="T26" s="54">
        <f t="shared" si="0"/>
        <v>3.62</v>
      </c>
    </row>
    <row r="27" spans="1:20" ht="13.5">
      <c r="A27" s="100">
        <f>EOMONTH(A28,0)+1</f>
        <v>42156</v>
      </c>
      <c r="B27" s="33">
        <f t="shared" si="2"/>
      </c>
      <c r="C27" s="25"/>
      <c r="D27" s="6"/>
      <c r="E27" s="23"/>
      <c r="F27" s="25"/>
      <c r="G27" s="5"/>
      <c r="H27" s="28"/>
      <c r="I27" s="25"/>
      <c r="J27" s="28"/>
      <c r="K27" s="25"/>
      <c r="L27" s="28"/>
      <c r="M27" s="25"/>
      <c r="N27" s="28"/>
      <c r="O27" s="25"/>
      <c r="P27" s="28"/>
      <c r="Q27" s="25"/>
      <c r="R27" s="28"/>
      <c r="S27" s="47"/>
      <c r="T27" s="54">
        <f t="shared" si="0"/>
        <v>3.62</v>
      </c>
    </row>
    <row r="28" spans="1:20" ht="13.5">
      <c r="A28" s="100">
        <f>EOMONTH(A29,0)+1</f>
        <v>42125</v>
      </c>
      <c r="B28" s="33">
        <f t="shared" si="2"/>
      </c>
      <c r="C28" s="25"/>
      <c r="D28" s="6"/>
      <c r="E28" s="23"/>
      <c r="F28" s="25"/>
      <c r="G28" s="5"/>
      <c r="H28" s="28"/>
      <c r="I28" s="25"/>
      <c r="J28" s="28"/>
      <c r="K28" s="25"/>
      <c r="L28" s="28"/>
      <c r="M28" s="25"/>
      <c r="N28" s="28"/>
      <c r="O28" s="25"/>
      <c r="P28" s="28"/>
      <c r="Q28" s="25"/>
      <c r="R28" s="28"/>
      <c r="S28" s="47"/>
      <c r="T28" s="54">
        <f t="shared" si="0"/>
        <v>3.62</v>
      </c>
    </row>
    <row r="29" spans="1:20" ht="13.5">
      <c r="A29" s="100">
        <f>EOMONTH(A30,0)+1</f>
        <v>42095</v>
      </c>
      <c r="B29" s="33">
        <f t="shared" si="2"/>
      </c>
      <c r="C29" s="25"/>
      <c r="D29" s="6"/>
      <c r="E29" s="23"/>
      <c r="F29" s="25"/>
      <c r="G29" s="5"/>
      <c r="H29" s="28"/>
      <c r="I29" s="25"/>
      <c r="J29" s="28"/>
      <c r="K29" s="25"/>
      <c r="L29" s="28"/>
      <c r="M29" s="25"/>
      <c r="N29" s="28"/>
      <c r="O29" s="25"/>
      <c r="P29" s="28"/>
      <c r="Q29" s="25"/>
      <c r="R29" s="28"/>
      <c r="S29" s="47"/>
      <c r="T29" s="54">
        <f t="shared" si="0"/>
        <v>3.62</v>
      </c>
    </row>
    <row r="30" spans="1:20" ht="13.5">
      <c r="A30" s="100">
        <f>EOMONTH(A31,0)+1</f>
        <v>42064</v>
      </c>
      <c r="B30" s="33">
        <f t="shared" si="2"/>
      </c>
      <c r="C30" s="25"/>
      <c r="D30" s="6"/>
      <c r="E30" s="23"/>
      <c r="F30" s="25"/>
      <c r="G30" s="5"/>
      <c r="H30" s="28"/>
      <c r="I30" s="25"/>
      <c r="J30" s="28"/>
      <c r="K30" s="25"/>
      <c r="L30" s="28"/>
      <c r="M30" s="25"/>
      <c r="N30" s="28"/>
      <c r="O30" s="25"/>
      <c r="P30" s="28"/>
      <c r="Q30" s="25"/>
      <c r="R30" s="28"/>
      <c r="S30" s="47"/>
      <c r="T30" s="54">
        <f t="shared" si="0"/>
        <v>3.62</v>
      </c>
    </row>
    <row r="31" spans="1:20" ht="13.5">
      <c r="A31" s="100">
        <f>EOMONTH(A32,0)+1</f>
        <v>42036</v>
      </c>
      <c r="B31" s="33">
        <f t="shared" si="2"/>
      </c>
      <c r="C31" s="25"/>
      <c r="D31" s="6"/>
      <c r="E31" s="23"/>
      <c r="F31" s="25"/>
      <c r="G31" s="5"/>
      <c r="H31" s="28"/>
      <c r="I31" s="25"/>
      <c r="J31" s="28"/>
      <c r="K31" s="25"/>
      <c r="L31" s="28"/>
      <c r="M31" s="25"/>
      <c r="N31" s="28"/>
      <c r="O31" s="25"/>
      <c r="P31" s="28"/>
      <c r="Q31" s="25"/>
      <c r="R31" s="28"/>
      <c r="S31" s="47"/>
      <c r="T31" s="54">
        <f t="shared" si="0"/>
        <v>3.62</v>
      </c>
    </row>
    <row r="32" spans="1:20" ht="13.5">
      <c r="A32" s="100">
        <f>EOMONTH(A33,0)+1</f>
        <v>42005</v>
      </c>
      <c r="B32" s="33">
        <f t="shared" si="2"/>
        <v>32</v>
      </c>
      <c r="C32" s="25">
        <v>150000</v>
      </c>
      <c r="D32" s="6">
        <v>600000</v>
      </c>
      <c r="E32" s="23">
        <v>1600000</v>
      </c>
      <c r="F32" s="25">
        <v>12000</v>
      </c>
      <c r="G32" s="5">
        <v>10500</v>
      </c>
      <c r="H32" s="28">
        <v>5500</v>
      </c>
      <c r="I32" s="25">
        <v>9000</v>
      </c>
      <c r="J32" s="28">
        <v>9000</v>
      </c>
      <c r="K32" s="25">
        <v>7500</v>
      </c>
      <c r="L32" s="28">
        <v>7500</v>
      </c>
      <c r="M32" s="25">
        <v>6000</v>
      </c>
      <c r="N32" s="28">
        <v>6000</v>
      </c>
      <c r="O32" s="25">
        <v>4500</v>
      </c>
      <c r="P32" s="28">
        <v>4500</v>
      </c>
      <c r="Q32" s="25">
        <v>3000</v>
      </c>
      <c r="R32" s="28">
        <v>3000</v>
      </c>
      <c r="S32" s="47"/>
      <c r="T32" s="54">
        <f>T33</f>
        <v>3.62</v>
      </c>
    </row>
    <row r="33" spans="1:20" ht="13.5">
      <c r="A33" s="34">
        <v>41974</v>
      </c>
      <c r="B33" s="35"/>
      <c r="C33" s="36"/>
      <c r="D33" s="102"/>
      <c r="E33" s="101" t="s">
        <v>48</v>
      </c>
      <c r="F33" s="37"/>
      <c r="G33" s="38"/>
      <c r="H33" s="39"/>
      <c r="I33" s="37"/>
      <c r="J33" s="39"/>
      <c r="K33" s="37"/>
      <c r="L33" s="39"/>
      <c r="M33" s="37"/>
      <c r="N33" s="39"/>
      <c r="O33" s="37"/>
      <c r="P33" s="39"/>
      <c r="Q33" s="37"/>
      <c r="R33" s="39"/>
      <c r="S33" s="48"/>
      <c r="T33" s="55">
        <v>3.62</v>
      </c>
    </row>
    <row r="35" spans="1:20" ht="21" customHeight="1">
      <c r="A35" s="91">
        <f ca="1">INDIRECT(CHAR(COLUMN(A$3)+64)&amp;$A$3)</f>
        <v>42005</v>
      </c>
      <c r="B35" s="92"/>
      <c r="C35" s="93">
        <f ca="1">INDIRECT(CHAR(COLUMN(C$3)+64)&amp;$A$3)</f>
        <v>150000</v>
      </c>
      <c r="D35" s="94" t="s">
        <v>21</v>
      </c>
      <c r="E35" s="94"/>
      <c r="F35" s="95">
        <f ca="1">INDIRECT(CHAR(COLUMN(F$3)+64)&amp;$A$3)-INDIRECT(CHAR(COLUMN(F$3)+64)&amp;($A$3)+1)</f>
        <v>12000</v>
      </c>
      <c r="G35" s="96">
        <f ca="1" t="shared" si="3" ref="G35:R35">INDIRECT(CHAR(COLUMN(G$3)+64)&amp;$A$3)-INDIRECT(CHAR(COLUMN(G$3)+64)&amp;($A$3)+1)</f>
        <v>10500</v>
      </c>
      <c r="H35" s="97">
        <f ca="1" t="shared" si="3"/>
        <v>5500</v>
      </c>
      <c r="I35" s="95">
        <f ca="1" t="shared" si="3"/>
        <v>9000</v>
      </c>
      <c r="J35" s="97">
        <f ca="1" t="shared" si="3"/>
        <v>9000</v>
      </c>
      <c r="K35" s="95">
        <f ca="1" t="shared" si="3"/>
        <v>7500</v>
      </c>
      <c r="L35" s="97">
        <f ca="1" t="shared" si="3"/>
        <v>7500</v>
      </c>
      <c r="M35" s="95">
        <f ca="1" t="shared" si="3"/>
        <v>6000</v>
      </c>
      <c r="N35" s="97">
        <f ca="1" t="shared" si="3"/>
        <v>6000</v>
      </c>
      <c r="O35" s="95">
        <f ca="1" t="shared" si="3"/>
        <v>4500</v>
      </c>
      <c r="P35" s="97">
        <f ca="1" t="shared" si="3"/>
        <v>4500</v>
      </c>
      <c r="Q35" s="95">
        <f ca="1" t="shared" si="3"/>
        <v>3000</v>
      </c>
      <c r="R35" s="97">
        <f ca="1" t="shared" si="3"/>
        <v>3000</v>
      </c>
      <c r="S35" s="98">
        <f>IF(C35="","",C35-SUM(F35:G35)-SUM(I35:R35))</f>
        <v>67500</v>
      </c>
      <c r="T35" s="99">
        <f ca="1">INDIRECT(CHAR(COLUMN(T$3)+64)&amp;$A$3)</f>
        <v>3.62</v>
      </c>
    </row>
  </sheetData>
  <conditionalFormatting sqref="T4:T32">
    <cfRule type="cellIs" priority="1" dxfId="0" operator="equal" stopIfTrue="1">
      <formula>T5</formula>
    </cfRule>
    <cfRule type="cellIs" priority="2" dxfId="1" operator="notEqual" stopIfTrue="1">
      <formula>T5</formula>
    </cfRule>
  </conditionalFormatting>
  <dataValidations count="1">
    <dataValidation allowBlank="1" showInputMessage="1" showErrorMessage="1" imeMode="off" sqref="F35:S35 A4:S33"/>
  </dataValidations>
  <printOptions/>
  <pageMargins left="0.3937007874015748" right="0.1968503937007874" top="0.7874015748031497" bottom="0.3937007874015748" header="0.56" footer="0.1968503937007874"/>
  <pageSetup horizontalDpi="300" verticalDpi="300" orientation="landscape" paperSize="9" scale="78" r:id="rId1"/>
  <headerFooter alignWithMargins="0">
    <oddHeader>&amp;C&amp;14電気料金配分計算表 基礎データ原票</oddHeader>
    <oddFooter>&amp;L&amp;9&amp;F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37">
      <selection activeCell="J9" sqref="J9"/>
    </sheetView>
  </sheetViews>
  <sheetFormatPr defaultColWidth="9.00390625" defaultRowHeight="13.5"/>
  <cols>
    <col min="1" max="11" width="12.875" style="1" customWidth="1"/>
    <col min="12" max="16384" width="9.00390625" style="1" customWidth="1"/>
  </cols>
  <sheetData>
    <row r="1" spans="1:7" s="87" customFormat="1" ht="28.5" customHeight="1">
      <c r="A1" s="85" t="s">
        <v>49</v>
      </c>
      <c r="B1" s="86"/>
      <c r="C1" s="86"/>
      <c r="D1" s="86"/>
      <c r="E1" s="86"/>
      <c r="F1" s="86"/>
      <c r="G1" s="86"/>
    </row>
    <row r="2" spans="1:3" ht="23.25" customHeight="1">
      <c r="A2" s="58">
        <f ca="1">INDIRECT($B$3&amp;"!a"&amp;($C$3+1))</f>
        <v>41974</v>
      </c>
      <c r="B2" s="49"/>
      <c r="C2" s="59">
        <f ca="1">INDIRECT($B$3&amp;"!a"&amp;$C$3)</f>
        <v>42005</v>
      </c>
    </row>
    <row r="3" spans="1:3" ht="16.5" customHeight="1">
      <c r="A3" s="57" t="s">
        <v>25</v>
      </c>
      <c r="B3" s="64" t="s">
        <v>24</v>
      </c>
      <c r="C3" s="65">
        <f>'データ入力'!A3</f>
        <v>32</v>
      </c>
    </row>
    <row r="4" spans="1:6" ht="27" customHeight="1">
      <c r="A4" s="15" t="s">
        <v>42</v>
      </c>
      <c r="B4" s="16"/>
      <c r="C4" s="16"/>
      <c r="D4" s="68" t="s">
        <v>10</v>
      </c>
      <c r="E4" s="69"/>
      <c r="F4" s="72" t="s">
        <v>32</v>
      </c>
    </row>
    <row r="5" spans="1:6" ht="16.5" customHeight="1">
      <c r="A5" s="18" t="s">
        <v>28</v>
      </c>
      <c r="B5" s="2" t="s">
        <v>3</v>
      </c>
      <c r="C5" s="7" t="s">
        <v>4</v>
      </c>
      <c r="D5" s="70" t="s">
        <v>22</v>
      </c>
      <c r="E5" s="71" t="s">
        <v>31</v>
      </c>
      <c r="F5" s="50" t="s">
        <v>4</v>
      </c>
    </row>
    <row r="6" spans="1:6" ht="16.5" customHeight="1">
      <c r="A6" s="79" t="s">
        <v>2</v>
      </c>
      <c r="B6" s="4" t="s">
        <v>5</v>
      </c>
      <c r="C6" s="8" t="s">
        <v>5</v>
      </c>
      <c r="D6" s="80" t="s">
        <v>30</v>
      </c>
      <c r="E6" s="81" t="s">
        <v>5</v>
      </c>
      <c r="F6" s="82" t="s">
        <v>5</v>
      </c>
    </row>
    <row r="7" spans="1:6" ht="27" customHeight="1">
      <c r="A7" s="37">
        <f ca="1">INDIRECT($B$3&amp;"!c"&amp;$C$3)</f>
        <v>150000</v>
      </c>
      <c r="B7" s="56">
        <f ca="1">INDIRECT($B$3&amp;"!d"&amp;$C$3)</f>
        <v>600000</v>
      </c>
      <c r="C7" s="67">
        <f ca="1">INDIRECT($B$3&amp;"!e"&amp;$C$3)</f>
        <v>1600000</v>
      </c>
      <c r="D7" s="83">
        <f ca="1">INDIRECT($B$3&amp;"!t"&amp;$C$3)</f>
        <v>3.62</v>
      </c>
      <c r="E7" s="39">
        <f>D17</f>
        <v>19910</v>
      </c>
      <c r="F7" s="84">
        <f>C7+E7</f>
        <v>1619910</v>
      </c>
    </row>
    <row r="8" spans="1:7" ht="27" customHeight="1">
      <c r="A8" s="73" t="s">
        <v>33</v>
      </c>
      <c r="B8" s="105">
        <f>B7+C7</f>
        <v>2200000</v>
      </c>
      <c r="C8" s="106"/>
      <c r="D8" s="75" t="s">
        <v>38</v>
      </c>
      <c r="E8" s="76" t="s">
        <v>39</v>
      </c>
      <c r="F8" s="75" t="s">
        <v>40</v>
      </c>
      <c r="G8" s="76" t="s">
        <v>41</v>
      </c>
    </row>
    <row r="9" spans="1:7" ht="27" customHeight="1">
      <c r="A9" s="74" t="s">
        <v>34</v>
      </c>
      <c r="B9" s="107">
        <f>B7+F7</f>
        <v>2219910</v>
      </c>
      <c r="C9" s="108"/>
      <c r="D9" s="77">
        <f>B15+C15+SUM(B25:G25)+SUM(B34:E34)</f>
        <v>82500</v>
      </c>
      <c r="E9" s="90">
        <f>B18+SUM(B27:G27)+SUM(B36:E36)</f>
        <v>1201040.5</v>
      </c>
      <c r="F9" s="77">
        <f>'データ入力'!$S$35</f>
        <v>67500</v>
      </c>
      <c r="G9" s="90">
        <f>$B$9*F9/$A$7</f>
        <v>998959.5</v>
      </c>
    </row>
    <row r="10" ht="21" customHeight="1">
      <c r="G10" s="78"/>
    </row>
    <row r="11" spans="2:4" ht="13.5">
      <c r="B11" s="43" t="s">
        <v>50</v>
      </c>
      <c r="C11" s="44"/>
      <c r="D11" s="45"/>
    </row>
    <row r="12" spans="2:4" ht="13.5">
      <c r="B12" s="12" t="s">
        <v>8</v>
      </c>
      <c r="C12" s="13" t="s">
        <v>9</v>
      </c>
      <c r="D12" s="14" t="s">
        <v>10</v>
      </c>
    </row>
    <row r="13" spans="1:4" ht="13.5">
      <c r="A13" s="66" t="s">
        <v>26</v>
      </c>
      <c r="B13" s="25">
        <f ca="1">INDIRECT($B$3&amp;"!f"&amp;$C$3)</f>
        <v>12000</v>
      </c>
      <c r="C13" s="5">
        <f ca="1">INDIRECT($B$3&amp;"!g"&amp;$C$3)</f>
        <v>10500</v>
      </c>
      <c r="D13" s="28">
        <f ca="1">INDIRECT($B$3&amp;"!h"&amp;$C$3)</f>
        <v>5500</v>
      </c>
    </row>
    <row r="14" spans="1:4" ht="13.5">
      <c r="A14" s="66" t="s">
        <v>27</v>
      </c>
      <c r="B14" s="25">
        <f ca="1">INDIRECT($B$3&amp;"!f"&amp;($C$3+1))</f>
        <v>0</v>
      </c>
      <c r="C14" s="5">
        <f ca="1">INDIRECT($B$3&amp;"!g"&amp;($C$3+1))</f>
        <v>0</v>
      </c>
      <c r="D14" s="28">
        <f ca="1">INDIRECT($B$3&amp;"!h"&amp;($C$3+1))</f>
        <v>0</v>
      </c>
    </row>
    <row r="15" spans="1:4" ht="13.5">
      <c r="A15" s="66" t="s">
        <v>28</v>
      </c>
      <c r="B15" s="60">
        <f>B13-B14</f>
        <v>12000</v>
      </c>
      <c r="C15" s="61">
        <f>C13-C14</f>
        <v>10500</v>
      </c>
      <c r="D15" s="62">
        <f>D13-D14</f>
        <v>5500</v>
      </c>
    </row>
    <row r="16" spans="1:4" ht="13.5">
      <c r="A16" s="66" t="s">
        <v>29</v>
      </c>
      <c r="B16" s="103">
        <f>B15+C15</f>
        <v>22500</v>
      </c>
      <c r="C16" s="104"/>
      <c r="D16" s="63"/>
    </row>
    <row r="17" spans="1:4" ht="13.5">
      <c r="A17" s="66" t="s">
        <v>35</v>
      </c>
      <c r="B17" s="109">
        <f>$B$9*B16/$A$7</f>
        <v>332986.5</v>
      </c>
      <c r="C17" s="110"/>
      <c r="D17" s="88">
        <f>$D$7*D15</f>
        <v>19910</v>
      </c>
    </row>
    <row r="18" spans="1:4" ht="13.5">
      <c r="A18" s="66" t="s">
        <v>36</v>
      </c>
      <c r="B18" s="111">
        <f>B17-D17</f>
        <v>313076.5</v>
      </c>
      <c r="C18" s="112"/>
      <c r="D18" s="89"/>
    </row>
    <row r="21" spans="2:8" ht="13.5">
      <c r="B21" s="43" t="s">
        <v>11</v>
      </c>
      <c r="C21" s="45"/>
      <c r="D21" s="43" t="s">
        <v>12</v>
      </c>
      <c r="E21" s="45"/>
      <c r="F21" s="43" t="s">
        <v>13</v>
      </c>
      <c r="G21" s="45"/>
      <c r="H21" s="1" t="s">
        <v>44</v>
      </c>
    </row>
    <row r="22" spans="2:8" ht="13.5">
      <c r="B22" s="12" t="s">
        <v>8</v>
      </c>
      <c r="C22" s="14" t="s">
        <v>9</v>
      </c>
      <c r="D22" s="12" t="s">
        <v>8</v>
      </c>
      <c r="E22" s="14" t="s">
        <v>9</v>
      </c>
      <c r="F22" s="12" t="s">
        <v>8</v>
      </c>
      <c r="G22" s="14" t="s">
        <v>9</v>
      </c>
      <c r="H22" s="1" t="s">
        <v>45</v>
      </c>
    </row>
    <row r="23" spans="1:8" ht="13.5">
      <c r="A23" s="66" t="s">
        <v>26</v>
      </c>
      <c r="B23" s="24">
        <f ca="1">INDIRECT($B$3&amp;"!i"&amp;$C$3)</f>
        <v>9000</v>
      </c>
      <c r="C23" s="27">
        <f ca="1">INDIRECT($B$3&amp;"!j"&amp;$C$3)</f>
        <v>9000</v>
      </c>
      <c r="D23" s="24">
        <f ca="1">INDIRECT($B$3&amp;"!k"&amp;$C$3)</f>
        <v>7500</v>
      </c>
      <c r="E23" s="27">
        <f ca="1">INDIRECT($B$3&amp;"!l"&amp;$C$3)</f>
        <v>7500</v>
      </c>
      <c r="F23" s="24">
        <f ca="1">INDIRECT($B$3&amp;"!m"&amp;$C$3)</f>
        <v>6000</v>
      </c>
      <c r="G23" s="27">
        <f ca="1">INDIRECT($B$3&amp;"!n"&amp;$C$3)</f>
        <v>6000</v>
      </c>
      <c r="H23" s="1" t="s">
        <v>46</v>
      </c>
    </row>
    <row r="24" spans="1:8" ht="13.5">
      <c r="A24" s="66" t="s">
        <v>27</v>
      </c>
      <c r="B24" s="25">
        <f ca="1">INDIRECT($B$3&amp;"!i"&amp;($C$3+1))</f>
        <v>0</v>
      </c>
      <c r="C24" s="28">
        <f ca="1">INDIRECT($B$3&amp;"!j"&amp;($C$3+1))</f>
        <v>0</v>
      </c>
      <c r="D24" s="25">
        <f ca="1">INDIRECT($B$3&amp;"!k"&amp;($C$3+1))</f>
        <v>0</v>
      </c>
      <c r="E24" s="28">
        <f ca="1">INDIRECT($B$3&amp;"!l"&amp;($C$3+1))</f>
        <v>0</v>
      </c>
      <c r="F24" s="25">
        <f ca="1">INDIRECT($B$3&amp;"!m"&amp;($C$3+1))</f>
        <v>0</v>
      </c>
      <c r="G24" s="28">
        <f ca="1">INDIRECT($B$3&amp;"!n"&amp;($C$3+1))</f>
        <v>0</v>
      </c>
      <c r="H24" s="1" t="s">
        <v>47</v>
      </c>
    </row>
    <row r="25" spans="1:7" ht="13.5">
      <c r="A25" s="66" t="s">
        <v>28</v>
      </c>
      <c r="B25" s="60">
        <f aca="true" t="shared" si="0" ref="B25:G25">B23-B24</f>
        <v>9000</v>
      </c>
      <c r="C25" s="62">
        <f t="shared" si="0"/>
        <v>9000</v>
      </c>
      <c r="D25" s="60">
        <f t="shared" si="0"/>
        <v>7500</v>
      </c>
      <c r="E25" s="62">
        <f t="shared" si="0"/>
        <v>7500</v>
      </c>
      <c r="F25" s="60">
        <f t="shared" si="0"/>
        <v>6000</v>
      </c>
      <c r="G25" s="62">
        <f t="shared" si="0"/>
        <v>6000</v>
      </c>
    </row>
    <row r="26" spans="1:7" ht="13.5">
      <c r="A26" s="66" t="s">
        <v>29</v>
      </c>
      <c r="B26" s="103">
        <f>B25+C25</f>
        <v>18000</v>
      </c>
      <c r="C26" s="113"/>
      <c r="D26" s="103">
        <f>D25+E25</f>
        <v>15000</v>
      </c>
      <c r="E26" s="113"/>
      <c r="F26" s="103">
        <f>F25+G25</f>
        <v>12000</v>
      </c>
      <c r="G26" s="113"/>
    </row>
    <row r="27" spans="1:7" ht="13.5">
      <c r="A27" s="66" t="s">
        <v>37</v>
      </c>
      <c r="B27" s="111">
        <f>$B$9*B26/$A$7</f>
        <v>266389.2</v>
      </c>
      <c r="C27" s="114"/>
      <c r="D27" s="111">
        <f>$B$9*D26/$A$7</f>
        <v>221991</v>
      </c>
      <c r="E27" s="114"/>
      <c r="F27" s="111">
        <f>$B$9*F26/$A$7</f>
        <v>177592.8</v>
      </c>
      <c r="G27" s="114"/>
    </row>
    <row r="30" spans="2:8" ht="13.5">
      <c r="B30" s="43" t="s">
        <v>14</v>
      </c>
      <c r="C30" s="45"/>
      <c r="D30" s="43" t="s">
        <v>15</v>
      </c>
      <c r="E30" s="45"/>
      <c r="H30" s="1" t="s">
        <v>51</v>
      </c>
    </row>
    <row r="31" spans="2:8" ht="13.5">
      <c r="B31" s="12" t="s">
        <v>8</v>
      </c>
      <c r="C31" s="14" t="s">
        <v>9</v>
      </c>
      <c r="D31" s="12" t="s">
        <v>8</v>
      </c>
      <c r="E31" s="14" t="s">
        <v>9</v>
      </c>
      <c r="H31" s="1" t="s">
        <v>52</v>
      </c>
    </row>
    <row r="32" spans="1:8" ht="13.5">
      <c r="A32" s="66" t="s">
        <v>26</v>
      </c>
      <c r="B32" s="24">
        <f ca="1">INDIRECT($B$3&amp;"!o"&amp;$C$3)</f>
        <v>4500</v>
      </c>
      <c r="C32" s="27">
        <f ca="1">INDIRECT($B$3&amp;"!p"&amp;$C$3)</f>
        <v>4500</v>
      </c>
      <c r="D32" s="24">
        <f ca="1">INDIRECT($B$3&amp;"!q"&amp;$C$3)</f>
        <v>3000</v>
      </c>
      <c r="E32" s="27">
        <f ca="1">INDIRECT($B$3&amp;"!r"&amp;$C$3)</f>
        <v>3000</v>
      </c>
      <c r="H32" s="1" t="s">
        <v>53</v>
      </c>
    </row>
    <row r="33" spans="1:8" ht="13.5">
      <c r="A33" s="66" t="s">
        <v>27</v>
      </c>
      <c r="B33" s="25">
        <f ca="1">INDIRECT($B$3&amp;"!o"&amp;($C$3+1))</f>
        <v>0</v>
      </c>
      <c r="C33" s="28">
        <f ca="1">INDIRECT($B$3&amp;"!p"&amp;($C$3+1))</f>
        <v>0</v>
      </c>
      <c r="D33" s="25">
        <f ca="1">INDIRECT($B$3&amp;"!q"&amp;($C$3+1))</f>
        <v>0</v>
      </c>
      <c r="E33" s="28">
        <f ca="1">INDIRECT($B$3&amp;"!r"&amp;($C$3+1))</f>
        <v>0</v>
      </c>
      <c r="H33" s="1" t="s">
        <v>54</v>
      </c>
    </row>
    <row r="34" spans="1:5" ht="13.5">
      <c r="A34" s="66" t="s">
        <v>28</v>
      </c>
      <c r="B34" s="60">
        <f>B32-B33</f>
        <v>4500</v>
      </c>
      <c r="C34" s="62">
        <f>C32-C33</f>
        <v>4500</v>
      </c>
      <c r="D34" s="60">
        <f>D32-D33</f>
        <v>3000</v>
      </c>
      <c r="E34" s="62">
        <f>E32-E33</f>
        <v>3000</v>
      </c>
    </row>
    <row r="35" spans="1:5" ht="13.5">
      <c r="A35" s="66" t="s">
        <v>29</v>
      </c>
      <c r="B35" s="103">
        <f>B34+C34</f>
        <v>9000</v>
      </c>
      <c r="C35" s="113"/>
      <c r="D35" s="103">
        <f>D34+E34</f>
        <v>6000</v>
      </c>
      <c r="E35" s="113"/>
    </row>
    <row r="36" spans="1:5" ht="13.5">
      <c r="A36" s="66" t="s">
        <v>37</v>
      </c>
      <c r="B36" s="111">
        <f>$B$9*B35/$A$7</f>
        <v>133194.6</v>
      </c>
      <c r="C36" s="114"/>
      <c r="D36" s="111">
        <f>$B$9*D35/$A$7</f>
        <v>88796.4</v>
      </c>
      <c r="E36" s="114"/>
    </row>
  </sheetData>
  <mergeCells count="15">
    <mergeCell ref="B36:C36"/>
    <mergeCell ref="D35:E35"/>
    <mergeCell ref="D36:E36"/>
    <mergeCell ref="F26:G26"/>
    <mergeCell ref="D27:E27"/>
    <mergeCell ref="F27:G27"/>
    <mergeCell ref="B35:C35"/>
    <mergeCell ref="B18:C18"/>
    <mergeCell ref="B26:C26"/>
    <mergeCell ref="B27:C27"/>
    <mergeCell ref="D26:E26"/>
    <mergeCell ref="B16:C16"/>
    <mergeCell ref="B8:C8"/>
    <mergeCell ref="B9:C9"/>
    <mergeCell ref="B17:C17"/>
  </mergeCells>
  <dataValidations count="1">
    <dataValidation allowBlank="1" showInputMessage="1" showErrorMessage="1" imeMode="off" sqref="B23:G27 B32:E36 D9:G9 A7:F7 B8:C9 B13:D18"/>
  </dataValidations>
  <printOptions/>
  <pageMargins left="0.75" right="0.43" top="0.66" bottom="0.68" header="0.512" footer="0.36"/>
  <pageSetup orientation="portrait" paperSize="9" r:id="rId2"/>
  <headerFooter alignWithMargins="0">
    <oddFooter>&amp;C&amp;P／&amp;N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P21" sqref="P21"/>
    </sheetView>
  </sheetViews>
  <sheetFormatPr defaultColWidth="9.00390625" defaultRowHeight="13.5"/>
  <cols>
    <col min="1" max="6" width="3.00390625" style="0" customWidth="1"/>
  </cols>
  <sheetData>
    <row r="1" ht="13.5">
      <c r="A1" t="s">
        <v>55</v>
      </c>
    </row>
    <row r="2" ht="13.5">
      <c r="B2" t="s">
        <v>57</v>
      </c>
    </row>
    <row r="3" ht="13.5">
      <c r="C3" t="s">
        <v>58</v>
      </c>
    </row>
    <row r="5" ht="13.5">
      <c r="B5" t="s">
        <v>74</v>
      </c>
    </row>
    <row r="6" ht="13.5">
      <c r="C6" t="s">
        <v>59</v>
      </c>
    </row>
    <row r="7" ht="13.5">
      <c r="C7" t="s">
        <v>70</v>
      </c>
    </row>
    <row r="9" ht="13.5">
      <c r="B9" t="s">
        <v>60</v>
      </c>
    </row>
    <row r="10" ht="13.5">
      <c r="C10" t="s">
        <v>61</v>
      </c>
    </row>
    <row r="11" ht="13.5">
      <c r="C11" t="s">
        <v>71</v>
      </c>
    </row>
    <row r="12" ht="13.5">
      <c r="C12" t="s">
        <v>72</v>
      </c>
    </row>
    <row r="16" ht="13.5">
      <c r="A16" t="s">
        <v>56</v>
      </c>
    </row>
    <row r="17" spans="2:6" ht="13.5">
      <c r="B17" t="s">
        <v>62</v>
      </c>
      <c r="F17" t="s">
        <v>73</v>
      </c>
    </row>
    <row r="19" spans="2:6" ht="13.5">
      <c r="B19" t="s">
        <v>63</v>
      </c>
      <c r="F19" t="s">
        <v>75</v>
      </c>
    </row>
    <row r="21" ht="13.5">
      <c r="B21" t="s">
        <v>65</v>
      </c>
    </row>
    <row r="22" ht="13.5">
      <c r="C22" t="s">
        <v>64</v>
      </c>
    </row>
    <row r="23" ht="13.5">
      <c r="C23" t="s">
        <v>66</v>
      </c>
    </row>
    <row r="25" ht="13.5">
      <c r="B25" t="s">
        <v>67</v>
      </c>
    </row>
    <row r="26" ht="13.5">
      <c r="C26" t="s">
        <v>68</v>
      </c>
    </row>
    <row r="27" ht="13.5">
      <c r="C27" t="s">
        <v>69</v>
      </c>
    </row>
  </sheetData>
  <printOptions/>
  <pageMargins left="0.5" right="0.49" top="0.98" bottom="0.39" header="0.67" footer="0.31"/>
  <pageSetup orientation="landscape" paperSize="9" r:id="rId1"/>
  <headerFooter alignWithMargins="0">
    <oddHeader>&amp;C&amp;12&amp;F　&amp;A&amp;R&amp;9&amp;P／&amp;N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dk.ayabe</dc:creator>
  <cp:keywords/>
  <dc:description/>
  <cp:lastModifiedBy>dk.ayabe</cp:lastModifiedBy>
  <cp:lastPrinted>2014-11-09T13:07:38Z</cp:lastPrinted>
  <dcterms:created xsi:type="dcterms:W3CDTF">1997-01-08T22:48:59Z</dcterms:created>
  <dcterms:modified xsi:type="dcterms:W3CDTF">2014-11-09T13:59:32Z</dcterms:modified>
  <cp:category/>
  <cp:version/>
  <cp:contentType/>
  <cp:contentStatus/>
</cp:coreProperties>
</file>